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1BB6239F-73F4-49B8-9369-A8F3ED09A40F}" xr6:coauthVersionLast="47" xr6:coauthVersionMax="47" xr10:uidLastSave="{00000000-0000-0000-0000-000000000000}"/>
  <bookViews>
    <workbookView xWindow="-104" yWindow="-104" windowWidth="22326" windowHeight="11947" xr2:uid="{0D55F9DA-C8B4-439C-9036-217F03B067D1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9" l="1"/>
  <c r="B34" i="9"/>
  <c r="D33" i="9"/>
  <c r="C33" i="9"/>
  <c r="C32" i="9"/>
  <c r="B32" i="9"/>
  <c r="D30" i="9"/>
  <c r="H10" i="9"/>
  <c r="B33" i="9" s="1"/>
  <c r="C9" i="9"/>
  <c r="H9" i="9" s="1"/>
  <c r="D32" i="9" s="1"/>
  <c r="H8" i="9"/>
  <c r="H7" i="9"/>
  <c r="C30" i="9" s="1"/>
  <c r="H6" i="9"/>
  <c r="B29" i="9" s="1"/>
  <c r="H5" i="9"/>
  <c r="D28" i="9" s="1"/>
  <c r="G5" i="9"/>
  <c r="H11" i="9" s="1"/>
  <c r="D34" i="9" s="1"/>
  <c r="F80" i="8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C80" i="8" s="1"/>
  <c r="F61" i="8"/>
  <c r="C61" i="8"/>
  <c r="D56" i="8"/>
  <c r="F54" i="8"/>
  <c r="F52" i="8"/>
  <c r="F51" i="8"/>
  <c r="F49" i="8"/>
  <c r="F48" i="8"/>
  <c r="C48" i="8"/>
  <c r="F47" i="8"/>
  <c r="C47" i="8"/>
  <c r="F44" i="8"/>
  <c r="F42" i="8"/>
  <c r="F41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H20" i="8"/>
  <c r="H19" i="8"/>
  <c r="E17" i="8"/>
  <c r="H15" i="8"/>
  <c r="F46" i="8" s="1"/>
  <c r="H14" i="8"/>
  <c r="F45" i="8" s="1"/>
  <c r="C14" i="8"/>
  <c r="H12" i="8"/>
  <c r="H11" i="8"/>
  <c r="F43" i="8" s="1"/>
  <c r="H10" i="8"/>
  <c r="H9" i="8"/>
  <c r="H8" i="8"/>
  <c r="H7" i="8"/>
  <c r="F39" i="8" s="1"/>
  <c r="E5" i="8"/>
  <c r="H132" i="7"/>
  <c r="E128" i="7"/>
  <c r="E122" i="7"/>
  <c r="F122" i="7" s="1"/>
  <c r="F128" i="7" s="1"/>
  <c r="G119" i="7"/>
  <c r="G118" i="7"/>
  <c r="H117" i="7"/>
  <c r="H113" i="7"/>
  <c r="H106" i="7"/>
  <c r="H100" i="7"/>
  <c r="H95" i="7"/>
  <c r="H97" i="7" s="1"/>
  <c r="H102" i="7" s="1"/>
  <c r="H92" i="7"/>
  <c r="G91" i="7"/>
  <c r="H85" i="7"/>
  <c r="G79" i="7"/>
  <c r="H74" i="7"/>
  <c r="H66" i="7"/>
  <c r="H55" i="7"/>
  <c r="H53" i="7"/>
  <c r="F45" i="7"/>
  <c r="G45" i="7" s="1"/>
  <c r="C45" i="7"/>
  <c r="H42" i="7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E128" i="6"/>
  <c r="G119" i="6"/>
  <c r="G118" i="6"/>
  <c r="H117" i="6"/>
  <c r="H113" i="6"/>
  <c r="H106" i="6"/>
  <c r="H100" i="6"/>
  <c r="H97" i="6"/>
  <c r="H102" i="6" s="1"/>
  <c r="H95" i="6"/>
  <c r="H92" i="6"/>
  <c r="G90" i="6"/>
  <c r="G86" i="6"/>
  <c r="H85" i="6"/>
  <c r="H79" i="6"/>
  <c r="G79" i="6"/>
  <c r="H74" i="6"/>
  <c r="H66" i="6"/>
  <c r="H55" i="6"/>
  <c r="H53" i="6"/>
  <c r="F45" i="6"/>
  <c r="C45" i="6"/>
  <c r="H42" i="6"/>
  <c r="G38" i="6"/>
  <c r="G39" i="6" s="1"/>
  <c r="G67" i="6" s="1"/>
  <c r="G37" i="6"/>
  <c r="H3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G120" i="5"/>
  <c r="G119" i="5"/>
  <c r="H118" i="5"/>
  <c r="H114" i="5"/>
  <c r="H107" i="5"/>
  <c r="H101" i="5"/>
  <c r="H98" i="5"/>
  <c r="H103" i="5" s="1"/>
  <c r="H96" i="5"/>
  <c r="G91" i="5"/>
  <c r="G87" i="5"/>
  <c r="H86" i="5"/>
  <c r="H80" i="5"/>
  <c r="G80" i="5"/>
  <c r="H75" i="5"/>
  <c r="H67" i="5"/>
  <c r="H63" i="5"/>
  <c r="H55" i="5"/>
  <c r="H53" i="5"/>
  <c r="F45" i="5"/>
  <c r="C45" i="5"/>
  <c r="G45" i="5" s="1"/>
  <c r="H42" i="5"/>
  <c r="H38" i="5"/>
  <c r="G38" i="5"/>
  <c r="G37" i="5"/>
  <c r="G39" i="5" s="1"/>
  <c r="G68" i="5" s="1"/>
  <c r="H36" i="5"/>
  <c r="H28" i="5"/>
  <c r="H26" i="5"/>
  <c r="H32" i="5" s="1"/>
  <c r="H25" i="5"/>
  <c r="H20" i="5"/>
  <c r="F12" i="5"/>
  <c r="H9" i="5"/>
  <c r="H7" i="5"/>
  <c r="C129" i="5" s="1"/>
  <c r="B3" i="5"/>
  <c r="H134" i="4"/>
  <c r="E129" i="4"/>
  <c r="C129" i="4"/>
  <c r="G120" i="4"/>
  <c r="G119" i="4"/>
  <c r="H118" i="4"/>
  <c r="H114" i="4"/>
  <c r="H107" i="4"/>
  <c r="H103" i="4"/>
  <c r="H101" i="4"/>
  <c r="H98" i="4"/>
  <c r="H96" i="4"/>
  <c r="G91" i="4"/>
  <c r="G87" i="4"/>
  <c r="H86" i="4"/>
  <c r="G80" i="4"/>
  <c r="H80" i="4" s="1"/>
  <c r="H75" i="4"/>
  <c r="G68" i="4"/>
  <c r="H67" i="4"/>
  <c r="H61" i="4"/>
  <c r="H55" i="4"/>
  <c r="H53" i="4"/>
  <c r="G51" i="4"/>
  <c r="F45" i="4"/>
  <c r="C45" i="4"/>
  <c r="G45" i="4" s="1"/>
  <c r="H42" i="4"/>
  <c r="G38" i="4"/>
  <c r="H38" i="4" s="1"/>
  <c r="G37" i="4"/>
  <c r="G39" i="4" s="1"/>
  <c r="H36" i="4"/>
  <c r="H26" i="4"/>
  <c r="H32" i="4" s="1"/>
  <c r="H25" i="4"/>
  <c r="H20" i="4"/>
  <c r="F12" i="4"/>
  <c r="H9" i="4"/>
  <c r="H7" i="4"/>
  <c r="B3" i="4"/>
  <c r="H134" i="3"/>
  <c r="C129" i="3"/>
  <c r="G120" i="3"/>
  <c r="G119" i="3"/>
  <c r="H118" i="3"/>
  <c r="H114" i="3"/>
  <c r="I108" i="3"/>
  <c r="H107" i="3"/>
  <c r="I103" i="3"/>
  <c r="H101" i="3"/>
  <c r="I98" i="3"/>
  <c r="H98" i="3"/>
  <c r="H103" i="3" s="1"/>
  <c r="H96" i="3"/>
  <c r="G91" i="3"/>
  <c r="G87" i="3"/>
  <c r="H86" i="3"/>
  <c r="G80" i="3"/>
  <c r="H75" i="3"/>
  <c r="H67" i="3"/>
  <c r="H63" i="3"/>
  <c r="I62" i="3"/>
  <c r="I61" i="3"/>
  <c r="H61" i="3"/>
  <c r="I55" i="3"/>
  <c r="H55" i="3"/>
  <c r="H53" i="3"/>
  <c r="G45" i="3"/>
  <c r="F45" i="3"/>
  <c r="C45" i="3"/>
  <c r="H42" i="3"/>
  <c r="G39" i="3"/>
  <c r="G68" i="3" s="1"/>
  <c r="I38" i="3"/>
  <c r="G38" i="3"/>
  <c r="G37" i="3"/>
  <c r="I37" i="3" s="1"/>
  <c r="I39" i="3" s="1"/>
  <c r="I68" i="3" s="1"/>
  <c r="H36" i="3"/>
  <c r="I26" i="3"/>
  <c r="I32" i="3" s="1"/>
  <c r="H26" i="3"/>
  <c r="H32" i="3" s="1"/>
  <c r="H25" i="3"/>
  <c r="H20" i="3"/>
  <c r="F12" i="3"/>
  <c r="H9" i="3"/>
  <c r="H7" i="3"/>
  <c r="B3" i="3"/>
  <c r="G31" i="2"/>
  <c r="H31" i="2" s="1"/>
  <c r="G30" i="2"/>
  <c r="H30" i="2" s="1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90" i="1"/>
  <c r="H186" i="1"/>
  <c r="C186" i="1"/>
  <c r="C182" i="1"/>
  <c r="H182" i="1" s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7" s="1"/>
  <c r="D80" i="1"/>
  <c r="E122" i="6" s="1"/>
  <c r="D78" i="1"/>
  <c r="G72" i="1"/>
  <c r="G92" i="4" s="1"/>
  <c r="G71" i="1"/>
  <c r="G90" i="7" s="1"/>
  <c r="G70" i="1"/>
  <c r="G89" i="6" s="1"/>
  <c r="G69" i="1"/>
  <c r="G89" i="4" s="1"/>
  <c r="G68" i="1"/>
  <c r="G67" i="1"/>
  <c r="G86" i="7" s="1"/>
  <c r="E61" i="1"/>
  <c r="E59" i="1"/>
  <c r="H54" i="1"/>
  <c r="H53" i="1"/>
  <c r="H52" i="1"/>
  <c r="H51" i="1"/>
  <c r="H50" i="1"/>
  <c r="H49" i="1"/>
  <c r="H55" i="1" s="1"/>
  <c r="H48" i="1"/>
  <c r="H47" i="1"/>
  <c r="F43" i="1"/>
  <c r="D43" i="1"/>
  <c r="E43" i="1" s="1"/>
  <c r="I42" i="1" s="1"/>
  <c r="A42" i="1"/>
  <c r="F40" i="1"/>
  <c r="D40" i="1"/>
  <c r="E40" i="1" s="1"/>
  <c r="I39" i="1"/>
  <c r="H54" i="4" s="1"/>
  <c r="A39" i="1"/>
  <c r="F37" i="1"/>
  <c r="D37" i="1"/>
  <c r="E37" i="1" s="1"/>
  <c r="I36" i="1" s="1"/>
  <c r="I54" i="3" s="1"/>
  <c r="A36" i="1"/>
  <c r="F34" i="1"/>
  <c r="E34" i="1"/>
  <c r="I33" i="1" s="1"/>
  <c r="A33" i="1"/>
  <c r="I30" i="1"/>
  <c r="I63" i="3" s="1"/>
  <c r="I28" i="1"/>
  <c r="H61" i="6" s="1"/>
  <c r="I26" i="1"/>
  <c r="D24" i="1"/>
  <c r="E24" i="1" s="1"/>
  <c r="I24" i="1" s="1"/>
  <c r="E22" i="1"/>
  <c r="G22" i="1" s="1"/>
  <c r="I22" i="1" s="1"/>
  <c r="I20" i="1"/>
  <c r="I18" i="1"/>
  <c r="I16" i="1"/>
  <c r="F7" i="1"/>
  <c r="I59" i="3" l="1"/>
  <c r="H59" i="6"/>
  <c r="H59" i="4"/>
  <c r="H59" i="5"/>
  <c r="H59" i="7"/>
  <c r="H59" i="3"/>
  <c r="H27" i="7"/>
  <c r="H32" i="7" s="1"/>
  <c r="H58" i="7"/>
  <c r="H58" i="6"/>
  <c r="H58" i="4"/>
  <c r="H58" i="5"/>
  <c r="I58" i="3"/>
  <c r="H58" i="3"/>
  <c r="H45" i="3"/>
  <c r="G51" i="3"/>
  <c r="H41" i="3"/>
  <c r="H80" i="3"/>
  <c r="H135" i="3"/>
  <c r="H41" i="5"/>
  <c r="H135" i="5"/>
  <c r="G69" i="4"/>
  <c r="H45" i="5"/>
  <c r="G51" i="5"/>
  <c r="G87" i="6"/>
  <c r="G88" i="3"/>
  <c r="G88" i="5"/>
  <c r="G87" i="7"/>
  <c r="G88" i="4"/>
  <c r="H192" i="1"/>
  <c r="G89" i="8" s="1"/>
  <c r="H54" i="7"/>
  <c r="H54" i="6"/>
  <c r="H54" i="3"/>
  <c r="H54" i="5"/>
  <c r="H135" i="4"/>
  <c r="H41" i="4"/>
  <c r="H45" i="4" s="1"/>
  <c r="H37" i="4"/>
  <c r="H39" i="4" s="1"/>
  <c r="H68" i="4" s="1"/>
  <c r="G51" i="7"/>
  <c r="H108" i="5"/>
  <c r="H107" i="6"/>
  <c r="H108" i="4"/>
  <c r="H108" i="3"/>
  <c r="H107" i="7"/>
  <c r="H38" i="3"/>
  <c r="H38" i="6"/>
  <c r="H39" i="6" s="1"/>
  <c r="H57" i="7"/>
  <c r="H57" i="6"/>
  <c r="H62" i="4"/>
  <c r="B30" i="9"/>
  <c r="H60" i="3"/>
  <c r="H60" i="5"/>
  <c r="H60" i="4"/>
  <c r="H56" i="4"/>
  <c r="H64" i="4" s="1"/>
  <c r="H70" i="4" s="1"/>
  <c r="H56" i="3"/>
  <c r="H56" i="6"/>
  <c r="G76" i="3"/>
  <c r="G75" i="7"/>
  <c r="G90" i="4"/>
  <c r="H60" i="6"/>
  <c r="C29" i="9"/>
  <c r="E60" i="1"/>
  <c r="H37" i="3"/>
  <c r="H39" i="3" s="1"/>
  <c r="H68" i="3" s="1"/>
  <c r="H56" i="7"/>
  <c r="G88" i="7"/>
  <c r="D29" i="9"/>
  <c r="D35" i="9" s="1"/>
  <c r="G77" i="6"/>
  <c r="E62" i="1"/>
  <c r="G78" i="3"/>
  <c r="H63" i="4"/>
  <c r="G78" i="4"/>
  <c r="E124" i="4"/>
  <c r="H37" i="5"/>
  <c r="H39" i="5" s="1"/>
  <c r="H68" i="5" s="1"/>
  <c r="H62" i="6"/>
  <c r="G91" i="6"/>
  <c r="H133" i="6"/>
  <c r="G77" i="7"/>
  <c r="I60" i="3"/>
  <c r="H60" i="7"/>
  <c r="G89" i="7"/>
  <c r="D31" i="9"/>
  <c r="C31" i="9"/>
  <c r="B31" i="9"/>
  <c r="H62" i="3"/>
  <c r="H61" i="7"/>
  <c r="G92" i="5"/>
  <c r="G92" i="3"/>
  <c r="G90" i="3"/>
  <c r="E124" i="3"/>
  <c r="H57" i="5"/>
  <c r="G89" i="5"/>
  <c r="G89" i="3"/>
  <c r="G94" i="5"/>
  <c r="H56" i="5"/>
  <c r="E124" i="5"/>
  <c r="H61" i="5"/>
  <c r="H62" i="7"/>
  <c r="I135" i="3"/>
  <c r="I41" i="3"/>
  <c r="I45" i="3" s="1"/>
  <c r="I56" i="3"/>
  <c r="I64" i="3" s="1"/>
  <c r="I70" i="3" s="1"/>
  <c r="I80" i="3"/>
  <c r="H57" i="4"/>
  <c r="G76" i="5"/>
  <c r="E123" i="3"/>
  <c r="E123" i="5"/>
  <c r="E123" i="4"/>
  <c r="H57" i="3"/>
  <c r="G76" i="4"/>
  <c r="G90" i="5"/>
  <c r="G75" i="6"/>
  <c r="G88" i="6"/>
  <c r="E123" i="6"/>
  <c r="F122" i="6" s="1"/>
  <c r="F128" i="6" s="1"/>
  <c r="B28" i="9"/>
  <c r="B35" i="9" s="1"/>
  <c r="E80" i="1"/>
  <c r="E83" i="1" s="1"/>
  <c r="I57" i="3"/>
  <c r="H62" i="5"/>
  <c r="G78" i="5"/>
  <c r="G45" i="6"/>
  <c r="G39" i="7"/>
  <c r="G67" i="7" s="1"/>
  <c r="C28" i="9"/>
  <c r="E129" i="5"/>
  <c r="E129" i="3"/>
  <c r="H41" i="6" l="1"/>
  <c r="H67" i="6"/>
  <c r="H41" i="7"/>
  <c r="H38" i="7"/>
  <c r="H133" i="7"/>
  <c r="H90" i="7"/>
  <c r="H37" i="7"/>
  <c r="H39" i="7" s="1"/>
  <c r="H67" i="7" s="1"/>
  <c r="H79" i="7"/>
  <c r="G94" i="4"/>
  <c r="G93" i="7"/>
  <c r="H47" i="3"/>
  <c r="H49" i="3"/>
  <c r="H43" i="3"/>
  <c r="H48" i="3"/>
  <c r="H74" i="3"/>
  <c r="H46" i="3"/>
  <c r="H44" i="3"/>
  <c r="H50" i="3"/>
  <c r="G93" i="6"/>
  <c r="C35" i="9"/>
  <c r="H64" i="5"/>
  <c r="H70" i="5" s="1"/>
  <c r="H74" i="4"/>
  <c r="H76" i="4" s="1"/>
  <c r="H48" i="4"/>
  <c r="H43" i="4"/>
  <c r="H44" i="4"/>
  <c r="H50" i="4"/>
  <c r="H47" i="4"/>
  <c r="H49" i="4"/>
  <c r="H46" i="4"/>
  <c r="G77" i="5"/>
  <c r="G76" i="6"/>
  <c r="G77" i="4"/>
  <c r="G77" i="3"/>
  <c r="G76" i="7"/>
  <c r="I46" i="3"/>
  <c r="I44" i="3"/>
  <c r="I49" i="3"/>
  <c r="I48" i="3"/>
  <c r="I74" i="3"/>
  <c r="I78" i="3" s="1"/>
  <c r="I47" i="3"/>
  <c r="I43" i="3"/>
  <c r="I50" i="3"/>
  <c r="H78" i="4"/>
  <c r="H64" i="3"/>
  <c r="H70" i="3" s="1"/>
  <c r="H51" i="5"/>
  <c r="G69" i="5"/>
  <c r="H51" i="3"/>
  <c r="G69" i="3"/>
  <c r="I51" i="3"/>
  <c r="I69" i="3" s="1"/>
  <c r="I71" i="3" s="1"/>
  <c r="F129" i="3"/>
  <c r="F129" i="5"/>
  <c r="H45" i="6"/>
  <c r="G51" i="6"/>
  <c r="H78" i="3"/>
  <c r="H63" i="6"/>
  <c r="H69" i="6" s="1"/>
  <c r="H49" i="5"/>
  <c r="H74" i="5"/>
  <c r="H78" i="5" s="1"/>
  <c r="H48" i="5"/>
  <c r="H44" i="5"/>
  <c r="H43" i="5"/>
  <c r="H50" i="5"/>
  <c r="H47" i="5"/>
  <c r="H46" i="5"/>
  <c r="F123" i="4"/>
  <c r="F129" i="4" s="1"/>
  <c r="G94" i="3"/>
  <c r="H51" i="7"/>
  <c r="H68" i="7" s="1"/>
  <c r="G68" i="7"/>
  <c r="H63" i="7"/>
  <c r="H69" i="7" s="1"/>
  <c r="F123" i="5"/>
  <c r="G79" i="4"/>
  <c r="G79" i="3"/>
  <c r="G78" i="6"/>
  <c r="G79" i="5"/>
  <c r="G78" i="7"/>
  <c r="I76" i="3"/>
  <c r="H76" i="3"/>
  <c r="H51" i="4"/>
  <c r="F123" i="3"/>
  <c r="H51" i="6" l="1"/>
  <c r="G68" i="6"/>
  <c r="H69" i="5"/>
  <c r="H71" i="5" s="1"/>
  <c r="H87" i="5"/>
  <c r="H70" i="7"/>
  <c r="H69" i="4"/>
  <c r="H71" i="4" s="1"/>
  <c r="H87" i="4"/>
  <c r="H79" i="5"/>
  <c r="H76" i="5"/>
  <c r="I136" i="3"/>
  <c r="H77" i="3"/>
  <c r="H81" i="3" s="1"/>
  <c r="H137" i="3" s="1"/>
  <c r="I77" i="3"/>
  <c r="I81" i="3" s="1"/>
  <c r="H86" i="7"/>
  <c r="I79" i="3"/>
  <c r="H79" i="3"/>
  <c r="H77" i="4"/>
  <c r="H81" i="4" s="1"/>
  <c r="H137" i="4" s="1"/>
  <c r="H46" i="7"/>
  <c r="H50" i="7"/>
  <c r="H49" i="7"/>
  <c r="H73" i="7"/>
  <c r="H48" i="7"/>
  <c r="H47" i="7"/>
  <c r="H44" i="7"/>
  <c r="H43" i="7"/>
  <c r="H45" i="7"/>
  <c r="H79" i="4"/>
  <c r="H69" i="3"/>
  <c r="H71" i="3" s="1"/>
  <c r="I87" i="3"/>
  <c r="H87" i="3"/>
  <c r="H77" i="5"/>
  <c r="H44" i="6"/>
  <c r="H43" i="6"/>
  <c r="H73" i="6"/>
  <c r="H48" i="6"/>
  <c r="H47" i="6"/>
  <c r="H46" i="6"/>
  <c r="H50" i="6"/>
  <c r="H49" i="6"/>
  <c r="I137" i="3" l="1"/>
  <c r="I85" i="3"/>
  <c r="H134" i="7"/>
  <c r="H77" i="7"/>
  <c r="H75" i="7"/>
  <c r="H80" i="7" s="1"/>
  <c r="H135" i="7" s="1"/>
  <c r="H136" i="3"/>
  <c r="H85" i="3"/>
  <c r="H78" i="7"/>
  <c r="H136" i="5"/>
  <c r="H77" i="6"/>
  <c r="H75" i="6"/>
  <c r="H80" i="6" s="1"/>
  <c r="H135" i="6" s="1"/>
  <c r="H136" i="4"/>
  <c r="H85" i="4"/>
  <c r="H78" i="6"/>
  <c r="H76" i="6"/>
  <c r="H68" i="6"/>
  <c r="H70" i="6" s="1"/>
  <c r="H86" i="6"/>
  <c r="H76" i="7"/>
  <c r="H81" i="5"/>
  <c r="H137" i="5" s="1"/>
  <c r="H93" i="4" l="1"/>
  <c r="H92" i="4"/>
  <c r="H89" i="4"/>
  <c r="H91" i="4"/>
  <c r="H88" i="4"/>
  <c r="H90" i="4"/>
  <c r="H93" i="3"/>
  <c r="H91" i="3"/>
  <c r="H89" i="3"/>
  <c r="H90" i="3"/>
  <c r="H88" i="3"/>
  <c r="H92" i="3"/>
  <c r="H85" i="5"/>
  <c r="H84" i="7"/>
  <c r="H134" i="6"/>
  <c r="H84" i="6"/>
  <c r="I91" i="3"/>
  <c r="I93" i="3"/>
  <c r="I89" i="3"/>
  <c r="I90" i="3"/>
  <c r="I88" i="3"/>
  <c r="I92" i="3"/>
  <c r="H94" i="3" l="1"/>
  <c r="H102" i="3" s="1"/>
  <c r="H104" i="3" s="1"/>
  <c r="H90" i="6"/>
  <c r="H89" i="6"/>
  <c r="H88" i="6"/>
  <c r="H91" i="6"/>
  <c r="H87" i="6"/>
  <c r="H93" i="6" s="1"/>
  <c r="H101" i="6" s="1"/>
  <c r="H103" i="6" s="1"/>
  <c r="H91" i="7"/>
  <c r="H89" i="7"/>
  <c r="H87" i="7"/>
  <c r="H88" i="7"/>
  <c r="I94" i="3"/>
  <c r="I102" i="3" s="1"/>
  <c r="I104" i="3" s="1"/>
  <c r="H93" i="5"/>
  <c r="H91" i="5"/>
  <c r="H89" i="5"/>
  <c r="H88" i="5"/>
  <c r="H90" i="5"/>
  <c r="H92" i="5"/>
  <c r="H94" i="4"/>
  <c r="H102" i="4" s="1"/>
  <c r="H104" i="4" s="1"/>
  <c r="I138" i="3" l="1"/>
  <c r="I115" i="3"/>
  <c r="H93" i="7"/>
  <c r="H101" i="7" s="1"/>
  <c r="H103" i="7" s="1"/>
  <c r="H138" i="4"/>
  <c r="H115" i="4"/>
  <c r="H136" i="6"/>
  <c r="H114" i="6"/>
  <c r="H94" i="5"/>
  <c r="H102" i="5" s="1"/>
  <c r="H104" i="5" s="1"/>
  <c r="H138" i="3"/>
  <c r="H115" i="3"/>
  <c r="H119" i="3" l="1"/>
  <c r="H142" i="3" s="1"/>
  <c r="H109" i="3"/>
  <c r="H112" i="3" s="1"/>
  <c r="H139" i="3" s="1"/>
  <c r="H140" i="3" s="1"/>
  <c r="H120" i="3"/>
  <c r="H138" i="5"/>
  <c r="H115" i="5"/>
  <c r="H108" i="6"/>
  <c r="H111" i="6" s="1"/>
  <c r="H137" i="6" s="1"/>
  <c r="H118" i="6"/>
  <c r="H119" i="6" s="1"/>
  <c r="H138" i="6"/>
  <c r="H132" i="4"/>
  <c r="H109" i="4"/>
  <c r="H112" i="4" s="1"/>
  <c r="H139" i="4" s="1"/>
  <c r="H140" i="4" s="1"/>
  <c r="H120" i="4"/>
  <c r="H130" i="4" s="1"/>
  <c r="H119" i="4"/>
  <c r="H136" i="7"/>
  <c r="H114" i="7"/>
  <c r="I119" i="3"/>
  <c r="I120" i="3" s="1"/>
  <c r="I109" i="3"/>
  <c r="I112" i="3" s="1"/>
  <c r="I139" i="3" s="1"/>
  <c r="I140" i="3"/>
  <c r="H141" i="4" l="1"/>
  <c r="H121" i="4"/>
  <c r="H129" i="6"/>
  <c r="H140" i="6"/>
  <c r="I142" i="3"/>
  <c r="H144" i="3" s="1"/>
  <c r="I13" i="8" s="1"/>
  <c r="G53" i="8" s="1"/>
  <c r="I130" i="3"/>
  <c r="F22" i="8"/>
  <c r="G22" i="8" s="1"/>
  <c r="F11" i="8"/>
  <c r="G11" i="8" s="1"/>
  <c r="F21" i="8"/>
  <c r="G21" i="8" s="1"/>
  <c r="F14" i="8"/>
  <c r="G14" i="8" s="1"/>
  <c r="F24" i="8"/>
  <c r="G24" i="8" s="1"/>
  <c r="F20" i="8"/>
  <c r="G20" i="8" s="1"/>
  <c r="F7" i="8"/>
  <c r="G7" i="8" s="1"/>
  <c r="F9" i="8"/>
  <c r="G9" i="8" s="1"/>
  <c r="F10" i="8"/>
  <c r="G10" i="8" s="1"/>
  <c r="F23" i="8"/>
  <c r="G23" i="8" s="1"/>
  <c r="F12" i="8"/>
  <c r="G12" i="8" s="1"/>
  <c r="F19" i="8"/>
  <c r="G19" i="8" s="1"/>
  <c r="F8" i="8"/>
  <c r="G8" i="8" s="1"/>
  <c r="H142" i="4"/>
  <c r="E61" i="8" s="1"/>
  <c r="G61" i="8" s="1"/>
  <c r="H132" i="3"/>
  <c r="H140" i="7"/>
  <c r="H108" i="7"/>
  <c r="H111" i="7" s="1"/>
  <c r="H137" i="7" s="1"/>
  <c r="H138" i="7" s="1"/>
  <c r="H129" i="7"/>
  <c r="H118" i="7"/>
  <c r="H119" i="7"/>
  <c r="H109" i="5"/>
  <c r="H112" i="5" s="1"/>
  <c r="H139" i="5" s="1"/>
  <c r="H140" i="5" s="1"/>
  <c r="H119" i="5"/>
  <c r="H130" i="3"/>
  <c r="D43" i="8" l="1"/>
  <c r="G43" i="8" s="1"/>
  <c r="I11" i="8"/>
  <c r="H120" i="7"/>
  <c r="H139" i="7"/>
  <c r="D48" i="8"/>
  <c r="G48" i="8" s="1"/>
  <c r="I20" i="8"/>
  <c r="D52" i="8"/>
  <c r="G52" i="8" s="1"/>
  <c r="I24" i="8"/>
  <c r="H121" i="3"/>
  <c r="H141" i="3"/>
  <c r="E78" i="8"/>
  <c r="G78" i="8" s="1"/>
  <c r="F34" i="8"/>
  <c r="G34" i="8" s="1"/>
  <c r="I14" i="8"/>
  <c r="D45" i="8"/>
  <c r="G45" i="8" s="1"/>
  <c r="H120" i="5"/>
  <c r="H130" i="5" s="1"/>
  <c r="D49" i="8"/>
  <c r="G49" i="8" s="1"/>
  <c r="I21" i="8"/>
  <c r="H132" i="5"/>
  <c r="D40" i="8"/>
  <c r="G40" i="8" s="1"/>
  <c r="I8" i="8"/>
  <c r="H142" i="5"/>
  <c r="F15" i="8" s="1"/>
  <c r="G15" i="8" s="1"/>
  <c r="E76" i="8"/>
  <c r="G76" i="8" s="1"/>
  <c r="G80" i="8" s="1"/>
  <c r="F29" i="8"/>
  <c r="G29" i="8" s="1"/>
  <c r="D47" i="8"/>
  <c r="G47" i="8" s="1"/>
  <c r="I19" i="8"/>
  <c r="D50" i="8"/>
  <c r="G50" i="8" s="1"/>
  <c r="I22" i="8"/>
  <c r="I141" i="3"/>
  <c r="I121" i="3"/>
  <c r="D44" i="8"/>
  <c r="G44" i="8" s="1"/>
  <c r="I12" i="8"/>
  <c r="I23" i="8"/>
  <c r="D51" i="8"/>
  <c r="G51" i="8" s="1"/>
  <c r="I10" i="8"/>
  <c r="D42" i="8"/>
  <c r="G42" i="8" s="1"/>
  <c r="H120" i="6"/>
  <c r="H139" i="6"/>
  <c r="I9" i="8"/>
  <c r="D41" i="8"/>
  <c r="G41" i="8" s="1"/>
  <c r="D39" i="8"/>
  <c r="G39" i="8" s="1"/>
  <c r="I7" i="8"/>
  <c r="H121" i="5" l="1"/>
  <c r="H141" i="5"/>
  <c r="I15" i="8"/>
  <c r="D46" i="8"/>
  <c r="G46" i="8" s="1"/>
  <c r="J15" i="8"/>
  <c r="J24" i="8"/>
  <c r="I29" i="8"/>
  <c r="J29" i="8" s="1"/>
  <c r="D54" i="8"/>
  <c r="G54" i="8" s="1"/>
  <c r="G56" i="8" s="1"/>
  <c r="G83" i="8" s="1"/>
  <c r="G92" i="8" s="1"/>
  <c r="G95" i="8" s="1"/>
  <c r="D55" i="8"/>
  <c r="G55" i="8" s="1"/>
  <c r="I34" i="8"/>
  <c r="J34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2801313C-72E1-4E89-A8F2-2C3F86B2FEB2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735B2B4-3F30-45FD-ABAE-B200DB5B5E2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2077CD8-6FF2-4B89-B76F-D79F31751E6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E57F7CD-3060-41FF-AE90-66F52BC74DA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EBE3367-CA6F-462E-A561-6EFCCD5D4CC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00A9195-81E9-46A0-B6D5-CB89D963F99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365CC32-677B-4303-ABB4-829ADA13771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<sst xmlns="http://schemas.openxmlformats.org/spreadsheetml/2006/main" count="1666" uniqueCount="487">
  <si>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</si>
  <si>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</si>
  <si>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</si>
  <si>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Santos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</si>
  <si>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</si>
  <si>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</si>
  <si>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</si>
  <si>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</si>
  <si>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</si>
  <si>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DRF/Santos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</si>
  <si>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</si>
  <si>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</si>
  <si>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</si>
  <si>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</si>
  <si>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</si>
  <si>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</si>
  <si>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</si>
  <si>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</si>
  <si>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</si>
  <si>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</si>
  <si>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</si>
  <si>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</si>
  <si>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</si>
  <si>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</si>
  <si>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</si>
  <si>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</si>
  <si>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</si>
  <si>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</si>
  <si>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</si>
  <si>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</si>
  <si>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</si>
  <si>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</si>
  <si>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</si>
  <si>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</si>
  <si>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</si>
  <si>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</si>
  <si>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</si>
  <si>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</si>
  <si>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</si>
  <si>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</si>
  <si>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</si>
  <si>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</si>
  <si>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</si>
  <si>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</si>
  <si>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</si>
  <si>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</si>
  <si>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</si>
  <si>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</si>
  <si>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</si>
  <si>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</si>
  <si>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</si>
  <si>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</si>
  <si>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</si>
  <si>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</si>
  <si>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</si>
  <si>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</si>
  <si>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</si>
  <si>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</si>
  <si>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</si>
  <si>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</si>
  <si>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</si>
  <si>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</si>
  <si>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</si>
  <si>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</si>
  <si>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</si>
  <si>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</si>
  <si>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</si>
  <si>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</si>
  <si>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</si>
  <si>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</si>
  <si>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</si>
  <si>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</si>
  <si>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</si>
  <si>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</si>
  <si>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</si>
  <si>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</si>
  <si>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</si>
  <si>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</si>
  <si>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</si>
  <si>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</si>
  <si>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</si>
  <si>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</si>
  <si>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</si>
  <si>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</si>
  <si>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</si>
  <si>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</si>
  <si>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</si>
  <si>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</si>
  <si>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</si>
  <si>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</si>
  <si>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</si>
  <si>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</si>
  <si>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</si>
  <si>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</si>
  <si>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</si>
  <si>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</si>
  <si>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</si>
  <si>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</si>
  <si>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</si>
  <si>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</si>
  <si>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</si>
  <si>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</si>
  <si>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</si>
  <si>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</si>
  <si>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</si>
  <si>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</si>
  <si>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</si>
  <si>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</si>
  <si>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</si>
  <si>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</si>
  <si>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</si>
  <si>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</si>
  <si>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</si>
  <si>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</si>
  <si>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</si>
  <si>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</si>
  <si>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</si>
  <si>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</si>
  <si>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</si>
  <si>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</si>
  <si>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</si>
  <si>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</si>
  <si>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</si>
  <si>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</si>
  <si>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</si>
  <si>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</si>
  <si>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</si>
  <si>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</si>
  <si>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</si>
  <si>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</si>
  <si>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</si>
  <si>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</si>
  <si>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</si>
  <si>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</si>
  <si>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</si>
  <si>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</si>
  <si>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</si>
  <si>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</si>
  <si>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</si>
  <si>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</si>
  <si>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</si>
  <si>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</si>
  <si>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</si>
  <si>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</si>
  <si>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</si>
  <si>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</si>
  <si>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</si>
  <si>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</si>
  <si>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</si>
  <si>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</si>
  <si>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</si>
  <si>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</si>
  <si>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</si>
  <si>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</si>
  <si>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</si>
  <si>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</si>
  <si>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</si>
  <si>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</si>
  <si>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</si>
  <si>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</si>
  <si>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</si>
  <si>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</si>
  <si>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</si>
  <si>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</si>
  <si>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</si>
  <si>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</si>
  <si>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</si>
  <si>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</si>
  <si>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</si>
  <si>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</si>
  <si>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</si>
  <si>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</si>
  <si>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</si>
  <si>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</si>
  <si>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</si>
  <si>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</si>
  <si>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</si>
  <si>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</si>
  <si>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</si>
  <si>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</si>
  <si>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</si>
  <si>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</si>
  <si>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</si>
  <si>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</si>
  <si>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</si>
  <si>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</si>
  <si>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</si>
  <si>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</si>
  <si>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</si>
  <si>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</si>
  <si>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</si>
  <si>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</si>
  <si>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</si>
  <si>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</si>
  <si>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</si>
  <si>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</si>
  <si>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</si>
  <si>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</si>
  <si>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</si>
  <si>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</si>
  <si>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</si>
  <si>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</si>
  <si>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</si>
  <si>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</si>
  <si>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</si>
  <si>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</si>
  <si>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</si>
  <si>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</si>
  <si>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</si>
  <si>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7757,05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</si>
  <si>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</si>
  <si>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</si>
  <si>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</si>
  <si>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</si>
  <si>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</si>
  <si>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2290,54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</si>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</sst>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13BD654B-D58C-4471-BF35-DDB9373C18CE}"/>
    <cellStyle name="Excel Built-in Percent" xfId="4" xr:uid="{19DF621C-53FB-4CF8-8B2B-5FDCCDB1E906}"/>
    <cellStyle name="Excel Built-in Percent 2" xfId="6" xr:uid="{89E6FCB7-ABBD-4E3C-A73A-40FEB308D949}"/>
    <cellStyle name="Excel_BuiltIn_Currency" xfId="5" xr:uid="{DCD24920-84E6-49AF-86EC-073B7F61A45C}"/>
    <cellStyle name="Moeda" xfId="2" builtinId="4"/>
    <cellStyle name="Moeda_Plan1_1_Limpeza2011- Planilhas" xfId="8" xr:uid="{7D3AE21A-BDC5-4BB0-A338-CACEFA75FA16}"/>
    <cellStyle name="Normal" xfId="0" builtinId="0"/>
    <cellStyle name="Normal 2" xfId="10" xr:uid="{5D0996EE-2E9B-4B2B-ADA1-FD2969B14868}"/>
    <cellStyle name="Normal_Limpeza2011- Planilhas" xfId="7" xr:uid="{75B8E504-CD5F-4148-A978-6C3C3320CCD4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09BA3-96C9-41B2-90F9-7143CD734B66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144.47999999999999</v>
      </c>
      <c r="F18" s="18"/>
      <c r="G18" s="18"/>
      <c r="H18" s="18"/>
      <c r="I18" s="31">
        <f>E18</f>
        <v>144.47999999999999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Santos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129.43619999999999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5.35</v>
      </c>
      <c r="E34" s="43">
        <f>B34*C34*D34</f>
        <v>232.46819999999997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Santos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120.10019999999997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5.35</v>
      </c>
      <c r="E37" s="43">
        <f>B37*C37*D37</f>
        <v>232.46819999999997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Santos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170.64899999999997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5.35</v>
      </c>
      <c r="E40" s="43">
        <f>B40*C40*D40</f>
        <v>232.46819999999997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Santos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119.52779999999997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5.35</v>
      </c>
      <c r="E43" s="43">
        <f>B43*C43*D43</f>
        <v>232.46819999999997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Santos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3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3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2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3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2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2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2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6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40</v>
      </c>
      <c r="G161" s="153">
        <v>1</v>
      </c>
      <c r="H161" s="130">
        <f t="shared" ref="H161:H172" si="1">E161*F161/G161</f>
        <v>477.2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20</v>
      </c>
      <c r="G162" s="153">
        <v>1</v>
      </c>
      <c r="H162" s="130">
        <f t="shared" si="1"/>
        <v>1179.4000000000001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65</v>
      </c>
      <c r="G164" s="153">
        <v>1</v>
      </c>
      <c r="H164" s="130">
        <f t="shared" si="1"/>
        <v>1885.65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4</v>
      </c>
      <c r="G165" s="153">
        <v>1</v>
      </c>
      <c r="H165" s="130">
        <f t="shared" si="1"/>
        <v>25.76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6</v>
      </c>
      <c r="G166" s="153">
        <v>1</v>
      </c>
      <c r="H166" s="130">
        <f t="shared" si="1"/>
        <v>121.80000000000001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6</v>
      </c>
      <c r="G167" s="153">
        <v>1</v>
      </c>
      <c r="H167" s="130">
        <f t="shared" si="1"/>
        <v>270.84000000000003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30</v>
      </c>
      <c r="G168" s="153">
        <v>24</v>
      </c>
      <c r="H168" s="130">
        <f t="shared" si="1"/>
        <v>29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40</v>
      </c>
      <c r="G170" s="153">
        <v>24</v>
      </c>
      <c r="H170" s="130">
        <f t="shared" si="1"/>
        <v>46.25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20</v>
      </c>
      <c r="G171" s="153">
        <v>24</v>
      </c>
      <c r="H171" s="130">
        <f t="shared" si="1"/>
        <v>22.5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25</v>
      </c>
      <c r="G172" s="153">
        <v>24</v>
      </c>
      <c r="H172" s="130">
        <f t="shared" si="1"/>
        <v>22.65625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4081.0562500000005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1085.9870000000001</v>
      </c>
      <c r="D178" s="163" t="s">
        <v>210</v>
      </c>
      <c r="E178" s="163"/>
      <c r="F178" s="163"/>
      <c r="G178" s="163"/>
      <c r="H178" s="164">
        <f>C178*2</f>
        <v>2171.9740000000002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92</v>
      </c>
      <c r="B182" s="161">
        <v>47</v>
      </c>
      <c r="C182" s="162">
        <f>A182*B182</f>
        <v>4324</v>
      </c>
      <c r="D182" s="163" t="s">
        <v>210</v>
      </c>
      <c r="E182" s="163"/>
      <c r="F182" s="163"/>
      <c r="G182" s="163"/>
      <c r="H182" s="164">
        <f>C182*2</f>
        <v>8648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 t="s">
        <v>215</v>
      </c>
      <c r="B186" s="161">
        <v>0.38</v>
      </c>
      <c r="C186" s="162">
        <f>A186*B186</f>
        <v>870.40520000000004</v>
      </c>
      <c r="D186" s="163" t="s">
        <v>216</v>
      </c>
      <c r="E186" s="163"/>
      <c r="F186" s="163"/>
      <c r="G186" s="163"/>
      <c r="H186" s="164">
        <f>C186*6</f>
        <v>5222.4312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217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218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219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220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221</v>
      </c>
      <c r="B192" s="16"/>
      <c r="C192" s="16"/>
      <c r="D192" s="16"/>
      <c r="E192" s="16"/>
      <c r="F192" s="16"/>
      <c r="G192" s="16"/>
      <c r="H192" s="172">
        <f>H178+H182+H186+H190</f>
        <v>17579.105200000002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208E1BD7-4CAC-4F81-B057-06CCFD9461EF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F0E6DBF6-51A4-445D-AFBB-B6355686A730}">
      <formula1>0</formula1>
      <formula2>0</formula2>
    </dataValidation>
    <dataValidation errorStyle="warning" allowBlank="1" showInputMessage="1" showErrorMessage="1" errorTitle="OK" error="Atingiu o valor desejado." sqref="B12 E12 E68:F72" xr:uid="{64B4DC06-FBD3-4833-82D2-E10C6589D924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B92AF-149A-4A32-B112-36FB12B3D09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222</v>
      </c>
      <c r="B2" s="159"/>
      <c r="C2" s="159"/>
      <c r="D2" s="159"/>
      <c r="E2" s="159"/>
      <c r="F2" s="157" t="s">
        <v>223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224</v>
      </c>
      <c r="B3" s="126" t="s">
        <v>225</v>
      </c>
      <c r="C3" s="178" t="s">
        <v>226</v>
      </c>
      <c r="D3" s="178"/>
      <c r="E3" s="178"/>
      <c r="F3" s="126" t="str">
        <f>Licitante!$B$2</f>
        <v>Santos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227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228</v>
      </c>
      <c r="B5" s="179">
        <v>6382.6</v>
      </c>
      <c r="C5" s="188">
        <v>1200</v>
      </c>
      <c r="D5" s="188"/>
      <c r="E5" s="188"/>
      <c r="F5" s="183">
        <f t="shared" ref="F5:F11" si="0">B5/C5</f>
        <v>5.318833333333334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229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230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231</v>
      </c>
      <c r="B8" s="179">
        <v>1095</v>
      </c>
      <c r="C8" s="188">
        <v>1800</v>
      </c>
      <c r="D8" s="188"/>
      <c r="E8" s="188"/>
      <c r="F8" s="183">
        <f t="shared" si="0"/>
        <v>0.60833333333333328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232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233</v>
      </c>
      <c r="B10" s="179">
        <v>279.45</v>
      </c>
      <c r="C10" s="188">
        <v>300</v>
      </c>
      <c r="D10" s="188"/>
      <c r="E10" s="188"/>
      <c r="F10" s="183">
        <f t="shared" si="0"/>
        <v>0.93149999999999999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234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235</v>
      </c>
      <c r="B12" s="126" t="s">
        <v>225</v>
      </c>
      <c r="C12" s="178" t="s">
        <v>226</v>
      </c>
      <c r="D12" s="178"/>
      <c r="E12" s="178"/>
      <c r="F12" s="126" t="str">
        <f>Licitante!$B$2</f>
        <v>Santos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236</v>
      </c>
      <c r="B13" s="179">
        <v>5160</v>
      </c>
      <c r="C13" s="188">
        <v>2700</v>
      </c>
      <c r="D13" s="188"/>
      <c r="E13" s="180"/>
      <c r="F13" s="195">
        <f t="shared" ref="F13:F18" si="1">B13/C13</f>
        <v>1.9111111111111112</v>
      </c>
    </row>
    <row r="14" spans="1:19" ht="31.7" customHeight="1">
      <c r="A14" s="196" t="s">
        <v>237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238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239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240</v>
      </c>
      <c r="B17" s="197">
        <v>2290.54</v>
      </c>
      <c r="C17" s="198">
        <v>2700</v>
      </c>
      <c r="D17" s="198"/>
      <c r="E17" s="199"/>
      <c r="F17" s="200">
        <f t="shared" si="1"/>
        <v>0.84834814814814818</v>
      </c>
    </row>
    <row r="18" spans="1:19" ht="33.549999999999997" customHeight="1">
      <c r="A18" s="196" t="s">
        <v>241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242</v>
      </c>
      <c r="B19" s="202"/>
      <c r="C19" s="202"/>
      <c r="D19" s="202"/>
      <c r="E19" s="202"/>
      <c r="F19" s="203">
        <f>SUM(F4:F11)+SUM(F13:F18)</f>
        <v>9.6181259259259271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243</v>
      </c>
      <c r="B21" s="206"/>
      <c r="C21" s="206"/>
      <c r="D21" s="206"/>
      <c r="E21" s="206"/>
      <c r="F21" s="207">
        <v>9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244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245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222</v>
      </c>
      <c r="B25" s="210"/>
      <c r="C25" s="210"/>
      <c r="D25" s="210"/>
      <c r="E25" s="210"/>
      <c r="F25" s="210"/>
      <c r="G25" s="211"/>
      <c r="H25" s="212" t="s">
        <v>223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246</v>
      </c>
      <c r="B27" s="126" t="s">
        <v>225</v>
      </c>
      <c r="C27" s="178" t="s">
        <v>226</v>
      </c>
      <c r="D27" s="178"/>
      <c r="E27" s="65" t="s">
        <v>247</v>
      </c>
      <c r="F27" s="65" t="s">
        <v>248</v>
      </c>
      <c r="G27" s="213" t="s">
        <v>249</v>
      </c>
      <c r="H27" s="126" t="str">
        <f>Licitante!$B$2</f>
        <v>Santos / SP</v>
      </c>
      <c r="I27" s="186"/>
      <c r="J27" s="187"/>
    </row>
    <row r="28" spans="1:19" ht="24.8" customHeight="1">
      <c r="A28" s="30" t="s">
        <v>250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251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252</v>
      </c>
      <c r="B30" s="179">
        <v>1000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0.22306242401936183</v>
      </c>
      <c r="I30" s="194"/>
      <c r="J30" s="194"/>
    </row>
    <row r="31" spans="1:19" ht="27.25" customHeight="1">
      <c r="A31" s="30" t="s">
        <v>253</v>
      </c>
      <c r="B31" s="179">
        <v>782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3.4522337983401027E-2</v>
      </c>
      <c r="I31" s="194"/>
      <c r="J31" s="194"/>
    </row>
    <row r="32" spans="1:19" ht="28.4" customHeight="1">
      <c r="A32" s="215" t="s">
        <v>254</v>
      </c>
      <c r="B32" s="215"/>
      <c r="C32" s="215"/>
      <c r="D32" s="215"/>
      <c r="E32" s="215"/>
      <c r="F32" s="215"/>
      <c r="G32" s="216"/>
      <c r="H32" s="203">
        <f>SUM(H28:H31)</f>
        <v>0.25758476200276287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CFDE0-A5FA-4AC6-BFDD-2C6B23D053D1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255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256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257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258</v>
      </c>
      <c r="B4" s="221"/>
      <c r="C4" s="221"/>
      <c r="D4" s="221"/>
      <c r="E4" s="221"/>
      <c r="F4" s="222" t="s">
        <v>259</v>
      </c>
      <c r="G4" s="37"/>
      <c r="H4" s="37"/>
    </row>
    <row r="5" spans="1:8" ht="20.3" customHeight="1">
      <c r="A5" s="17" t="s">
        <v>260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261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262</v>
      </c>
      <c r="C7" s="225"/>
      <c r="D7" s="225"/>
      <c r="E7" s="225"/>
      <c r="F7" s="225"/>
      <c r="G7" s="225"/>
      <c r="H7" s="228" t="str">
        <f>Licitante!$B$2</f>
        <v>Santos / SP</v>
      </c>
    </row>
    <row r="8" spans="1:8" s="227" customFormat="1" ht="20.3" customHeight="1">
      <c r="A8" s="224" t="s">
        <v>71</v>
      </c>
      <c r="B8" s="225" t="s">
        <v>263</v>
      </c>
      <c r="C8" s="225"/>
      <c r="D8" s="225"/>
      <c r="E8" s="225"/>
      <c r="F8" s="225"/>
      <c r="G8" s="225"/>
      <c r="H8" s="226" t="s">
        <v>264</v>
      </c>
    </row>
    <row r="9" spans="1:8" s="227" customFormat="1" ht="20.3" customHeight="1">
      <c r="A9" s="224" t="s">
        <v>74</v>
      </c>
      <c r="B9" s="225" t="s">
        <v>265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266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267</v>
      </c>
      <c r="B11" s="230"/>
      <c r="C11" s="230"/>
      <c r="D11" s="230" t="s">
        <v>268</v>
      </c>
      <c r="E11" s="230"/>
      <c r="F11" s="231" t="s">
        <v>269</v>
      </c>
      <c r="G11" s="231"/>
      <c r="H11" s="231"/>
    </row>
    <row r="12" spans="1:8" s="220" customFormat="1" ht="20.3" customHeight="1">
      <c r="A12" s="230" t="s">
        <v>270</v>
      </c>
      <c r="B12" s="230"/>
      <c r="C12" s="230"/>
      <c r="D12" s="230" t="s">
        <v>271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14112.59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272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273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274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275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276</v>
      </c>
      <c r="C18" s="225"/>
      <c r="D18" s="225"/>
      <c r="E18" s="225"/>
      <c r="F18" s="225"/>
      <c r="G18" s="225"/>
      <c r="H18" s="229" t="s">
        <v>270</v>
      </c>
      <c r="I18" s="239"/>
    </row>
    <row r="19" spans="1:9" s="227" customFormat="1" ht="20.3" customHeight="1">
      <c r="A19" s="224">
        <v>2</v>
      </c>
      <c r="B19" s="238" t="s">
        <v>277</v>
      </c>
      <c r="C19" s="238"/>
      <c r="D19" s="238"/>
      <c r="E19" s="238"/>
      <c r="F19" s="238"/>
      <c r="G19" s="238"/>
      <c r="H19" s="229" t="s">
        <v>278</v>
      </c>
      <c r="I19" s="239"/>
    </row>
    <row r="20" spans="1:9" s="227" customFormat="1" ht="20.3" customHeight="1">
      <c r="A20" s="224">
        <v>3</v>
      </c>
      <c r="B20" s="225" t="s">
        <v>279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280</v>
      </c>
      <c r="C21" s="225"/>
      <c r="D21" s="225"/>
      <c r="E21" s="225"/>
      <c r="F21" s="225"/>
      <c r="G21" s="225"/>
      <c r="H21" s="229" t="s">
        <v>270</v>
      </c>
      <c r="I21" s="239"/>
    </row>
    <row r="22" spans="1:9" s="227" customFormat="1" ht="20.3" customHeight="1">
      <c r="A22" s="224">
        <v>5</v>
      </c>
      <c r="B22" s="225" t="s">
        <v>281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282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283</v>
      </c>
      <c r="C25" s="17"/>
      <c r="D25" s="17"/>
      <c r="E25" s="17"/>
      <c r="F25" s="17"/>
      <c r="G25" s="17"/>
      <c r="H25" s="246" t="str">
        <f>Licitante!$B$2</f>
        <v>Santos / SP</v>
      </c>
      <c r="I25" s="247" t="s">
        <v>284</v>
      </c>
    </row>
    <row r="26" spans="1:9" s="235" customFormat="1" ht="20.3" customHeight="1">
      <c r="A26" s="224" t="s">
        <v>66</v>
      </c>
      <c r="B26" s="238" t="s">
        <v>285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286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287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288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289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290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291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292</v>
      </c>
      <c r="B36" s="17" t="s">
        <v>293</v>
      </c>
      <c r="C36" s="17"/>
      <c r="D36" s="17"/>
      <c r="E36" s="17"/>
      <c r="F36" s="17"/>
      <c r="G36" s="245" t="s">
        <v>65</v>
      </c>
      <c r="H36" s="246" t="str">
        <f>Licitante!$B$2</f>
        <v>Santos / SP</v>
      </c>
      <c r="I36" s="247" t="s">
        <v>284</v>
      </c>
    </row>
    <row r="37" spans="1:9" s="235" customFormat="1" ht="20.3" customHeight="1">
      <c r="A37" s="224" t="s">
        <v>66</v>
      </c>
      <c r="B37" s="238" t="s">
        <v>294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295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296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297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298</v>
      </c>
      <c r="B42" s="17" t="s">
        <v>299</v>
      </c>
      <c r="C42" s="17"/>
      <c r="D42" s="17"/>
      <c r="E42" s="17"/>
      <c r="F42" s="17"/>
      <c r="G42" s="245" t="s">
        <v>65</v>
      </c>
      <c r="H42" s="246" t="str">
        <f>Licitante!$B$2</f>
        <v>Santos / SP</v>
      </c>
      <c r="I42" s="247" t="s">
        <v>284</v>
      </c>
    </row>
    <row r="43" spans="1:9" s="235" customFormat="1" ht="20.3" customHeight="1">
      <c r="A43" s="224" t="s">
        <v>66</v>
      </c>
      <c r="B43" s="225" t="s">
        <v>300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301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302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303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304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305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306</v>
      </c>
      <c r="B50" s="238" t="s">
        <v>307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308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309</v>
      </c>
      <c r="B53" s="17" t="s">
        <v>310</v>
      </c>
      <c r="C53" s="17"/>
      <c r="D53" s="17"/>
      <c r="E53" s="17"/>
      <c r="F53" s="17"/>
      <c r="G53" s="17"/>
      <c r="H53" s="246" t="str">
        <f>Licitante!$B$2</f>
        <v>Santos / SP</v>
      </c>
      <c r="I53" s="247" t="s">
        <v>284</v>
      </c>
    </row>
    <row r="54" spans="1:59" ht="20.3" customHeight="1">
      <c r="A54" s="224" t="s">
        <v>66</v>
      </c>
      <c r="B54" s="238" t="s">
        <v>311</v>
      </c>
      <c r="C54" s="238"/>
      <c r="D54" s="238"/>
      <c r="E54" s="238"/>
      <c r="F54" s="238"/>
      <c r="G54" s="238"/>
      <c r="H54" s="257">
        <f>Licitante!I33</f>
        <v>129.43619999999999</v>
      </c>
      <c r="I54" s="257">
        <f>Licitante!I36</f>
        <v>120.10019999999997</v>
      </c>
    </row>
    <row r="55" spans="1:59" ht="20.3" customHeight="1">
      <c r="A55" s="224" t="s">
        <v>68</v>
      </c>
      <c r="B55" s="238" t="s">
        <v>312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313</v>
      </c>
      <c r="C56" s="238"/>
      <c r="D56" s="238"/>
      <c r="E56" s="238"/>
      <c r="F56" s="238"/>
      <c r="G56" s="238"/>
      <c r="H56" s="257">
        <f>Licitante!I18</f>
        <v>144.47999999999999</v>
      </c>
      <c r="I56" s="257">
        <f>Licitante!I18</f>
        <v>144.47999999999999</v>
      </c>
    </row>
    <row r="57" spans="1:59" ht="20.3" customHeight="1">
      <c r="A57" s="224" t="s">
        <v>74</v>
      </c>
      <c r="B57" s="238" t="s">
        <v>314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315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316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317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306</v>
      </c>
      <c r="B61" s="264" t="s">
        <v>318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319</v>
      </c>
      <c r="B62" s="264" t="s">
        <v>320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321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1048.8162000000002</v>
      </c>
      <c r="I64" s="259">
        <f>SUM(I54:I63)</f>
        <v>1039.4802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322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323</v>
      </c>
      <c r="C67" s="17"/>
      <c r="D67" s="17"/>
      <c r="E67" s="17"/>
      <c r="F67" s="17"/>
      <c r="G67" s="17"/>
      <c r="H67" s="246" t="str">
        <f>Licitante!$B$2</f>
        <v>Santos / SP</v>
      </c>
      <c r="I67" s="247" t="s">
        <v>284</v>
      </c>
    </row>
    <row r="68" spans="1:9" s="235" customFormat="1" ht="20.3" customHeight="1">
      <c r="A68" s="224" t="s">
        <v>292</v>
      </c>
      <c r="B68" s="238" t="s">
        <v>324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298</v>
      </c>
      <c r="B69" s="238" t="s">
        <v>299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309</v>
      </c>
      <c r="B70" s="238" t="s">
        <v>310</v>
      </c>
      <c r="C70" s="238"/>
      <c r="D70" s="238"/>
      <c r="E70" s="238"/>
      <c r="F70" s="238"/>
      <c r="G70" s="238"/>
      <c r="H70" s="260">
        <f t="shared" ref="H70:I70" si="3">H64</f>
        <v>1048.8162000000002</v>
      </c>
      <c r="I70" s="260">
        <f t="shared" si="3"/>
        <v>1039.4802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1947.6923454545458</v>
      </c>
      <c r="I71" s="259">
        <f t="shared" si="4"/>
        <v>2019.8058727272728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325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326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327</v>
      </c>
      <c r="C75" s="17"/>
      <c r="D75" s="17"/>
      <c r="E75" s="17"/>
      <c r="F75" s="17"/>
      <c r="G75" s="17"/>
      <c r="H75" s="246" t="str">
        <f>Licitante!$B$2</f>
        <v>Santos / SP</v>
      </c>
      <c r="I75" s="247" t="s">
        <v>284</v>
      </c>
    </row>
    <row r="76" spans="1:9" s="235" customFormat="1" ht="20.3" customHeight="1">
      <c r="A76" s="224" t="s">
        <v>66</v>
      </c>
      <c r="B76" s="238" t="s">
        <v>328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329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330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331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332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333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334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335</v>
      </c>
      <c r="B85" s="17"/>
      <c r="C85" s="17"/>
      <c r="D85" s="17"/>
      <c r="E85" s="17"/>
      <c r="F85" s="17"/>
      <c r="G85" s="17"/>
      <c r="H85" s="260">
        <f>H32+H71-(H54+H55+H62)+H81</f>
        <v>2917.2300395127872</v>
      </c>
      <c r="I85" s="260">
        <f>I32+I71-(I54+I55+I62)+I81</f>
        <v>3163.5767749822667</v>
      </c>
    </row>
    <row r="86" spans="1:9" s="235" customFormat="1" ht="37.299999999999997" customHeight="1">
      <c r="A86" s="245" t="s">
        <v>336</v>
      </c>
      <c r="B86" s="282" t="s">
        <v>337</v>
      </c>
      <c r="C86" s="282"/>
      <c r="D86" s="282"/>
      <c r="E86" s="282"/>
      <c r="F86" s="282"/>
      <c r="G86" s="245" t="s">
        <v>65</v>
      </c>
      <c r="H86" s="246" t="str">
        <f>Licitante!$B$2</f>
        <v>Santos / SP</v>
      </c>
      <c r="I86" s="247" t="s">
        <v>284</v>
      </c>
    </row>
    <row r="87" spans="1:9" s="235" customFormat="1" ht="32.4" customHeight="1">
      <c r="A87" s="224" t="s">
        <v>66</v>
      </c>
      <c r="B87" s="283" t="s">
        <v>338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339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7.986940559925495</v>
      </c>
      <c r="I88" s="248">
        <f>G88*I85</f>
        <v>8.6614011635380326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0.59902054199441213</v>
      </c>
      <c r="I89" s="248">
        <f>G89*I85</f>
        <v>0.64960508726535238</v>
      </c>
    </row>
    <row r="90" spans="1:9" s="235" customFormat="1" ht="20.3" customHeight="1">
      <c r="A90" s="224" t="s">
        <v>74</v>
      </c>
      <c r="B90" s="285" t="s">
        <v>340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0.93447204551128293</v>
      </c>
      <c r="I90" s="286">
        <f>G90*I85</f>
        <v>1.0133839361339498</v>
      </c>
    </row>
    <row r="91" spans="1:9" ht="20.3" customHeight="1">
      <c r="A91" s="224" t="s">
        <v>77</v>
      </c>
      <c r="B91" s="264" t="s">
        <v>341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19.168657343821188</v>
      </c>
      <c r="I91" s="257">
        <f>G91*I85</f>
        <v>20.78736279249128</v>
      </c>
    </row>
    <row r="92" spans="1:9" s="235" customFormat="1" ht="24.65" customHeight="1">
      <c r="A92" s="224" t="s">
        <v>90</v>
      </c>
      <c r="B92" s="264" t="s">
        <v>342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23.960821679776487</v>
      </c>
      <c r="I92" s="248">
        <f>G92*I85</f>
        <v>25.9842034906141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272.73534688177267</v>
      </c>
      <c r="I94" s="250">
        <f t="shared" si="6"/>
        <v>291.32684572624106</v>
      </c>
    </row>
    <row r="95" spans="1:9" s="235" customFormat="1" ht="20.3" customHeight="1">
      <c r="A95" s="254" t="s">
        <v>343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344</v>
      </c>
      <c r="B96" s="17" t="s">
        <v>345</v>
      </c>
      <c r="C96" s="17"/>
      <c r="D96" s="17"/>
      <c r="E96" s="17"/>
      <c r="F96" s="17"/>
      <c r="G96" s="17"/>
      <c r="H96" s="246" t="str">
        <f>Licitante!$B$2</f>
        <v>Santos / SP</v>
      </c>
      <c r="I96" s="247" t="s">
        <v>284</v>
      </c>
    </row>
    <row r="97" spans="1:9" s="235" customFormat="1" ht="20.3" customHeight="1">
      <c r="A97" s="224" t="s">
        <v>66</v>
      </c>
      <c r="B97" s="238" t="s">
        <v>346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347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348</v>
      </c>
      <c r="C101" s="17"/>
      <c r="D101" s="17"/>
      <c r="E101" s="17"/>
      <c r="F101" s="17"/>
      <c r="G101" s="17"/>
      <c r="H101" s="246" t="str">
        <f>Licitante!$B$2</f>
        <v>Santos / SP</v>
      </c>
      <c r="I101" s="247" t="s">
        <v>284</v>
      </c>
    </row>
    <row r="102" spans="1:9" s="235" customFormat="1" ht="20.3" customHeight="1">
      <c r="A102" s="224" t="s">
        <v>336</v>
      </c>
      <c r="B102" s="238" t="s">
        <v>337</v>
      </c>
      <c r="C102" s="238"/>
      <c r="D102" s="238"/>
      <c r="E102" s="238"/>
      <c r="F102" s="238"/>
      <c r="G102" s="238"/>
      <c r="H102" s="257">
        <f t="shared" ref="H102:I102" si="8">H94</f>
        <v>272.73534688177267</v>
      </c>
      <c r="I102" s="257">
        <f t="shared" si="8"/>
        <v>291.32684572624106</v>
      </c>
    </row>
    <row r="103" spans="1:9" s="235" customFormat="1" ht="20.3" customHeight="1">
      <c r="A103" s="224" t="s">
        <v>344</v>
      </c>
      <c r="B103" s="238" t="s">
        <v>345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272.73534688177267</v>
      </c>
      <c r="I104" s="290">
        <f t="shared" si="10"/>
        <v>291.32684572624106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349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350</v>
      </c>
      <c r="C107" s="17"/>
      <c r="D107" s="17"/>
      <c r="E107" s="17"/>
      <c r="F107" s="17"/>
      <c r="G107" s="17"/>
      <c r="H107" s="246" t="str">
        <f>Licitante!$B$2</f>
        <v>Santos / SP</v>
      </c>
      <c r="I107" s="247" t="s">
        <v>284</v>
      </c>
    </row>
    <row r="108" spans="1:9" s="235" customFormat="1" ht="20.45" customHeight="1">
      <c r="A108" s="224" t="s">
        <v>66</v>
      </c>
      <c r="B108" s="238" t="s">
        <v>351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352</v>
      </c>
      <c r="C109" s="238"/>
      <c r="D109" s="238"/>
      <c r="E109" s="238"/>
      <c r="F109" s="238"/>
      <c r="G109" s="238"/>
      <c r="H109" s="257">
        <f>H115*Licitante!H127</f>
        <v>560.51640950834906</v>
      </c>
      <c r="I109" s="257">
        <f>I115*Licitante!H127</f>
        <v>595.37125964206905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630.73849284168239</v>
      </c>
      <c r="I112" s="259">
        <f t="shared" si="11"/>
        <v>665.59334297540238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353</v>
      </c>
      <c r="B114" s="17"/>
      <c r="C114" s="17"/>
      <c r="D114" s="17"/>
      <c r="E114" s="17"/>
      <c r="F114" s="17"/>
      <c r="G114" s="17"/>
      <c r="H114" s="246" t="str">
        <f>Licitante!$B$2</f>
        <v>Santos / SP</v>
      </c>
      <c r="I114" s="247" t="s">
        <v>284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4670.9700792362428</v>
      </c>
      <c r="I115" s="259">
        <f>(I32+I71+I81+I104+I108+I110+I111)/(1-Licitante!H127)</f>
        <v>4961.4271636839094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354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355</v>
      </c>
      <c r="C118" s="17"/>
      <c r="D118" s="17"/>
      <c r="E118" s="17"/>
      <c r="F118" s="17"/>
      <c r="G118" s="245" t="s">
        <v>65</v>
      </c>
      <c r="H118" s="246" t="str">
        <f>Licitante!$B$2</f>
        <v>Santos / SP</v>
      </c>
      <c r="I118" s="247" t="s">
        <v>284</v>
      </c>
    </row>
    <row r="119" spans="1:9" s="235" customFormat="1" ht="20.3" customHeight="1">
      <c r="A119" s="224" t="s">
        <v>66</v>
      </c>
      <c r="B119" s="238" t="s">
        <v>356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233.54850396181214</v>
      </c>
      <c r="I119" s="257">
        <f>G119*I115</f>
        <v>248.07135818419547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490.45185831980552</v>
      </c>
      <c r="I120" s="248">
        <f>G120*(I115+I119)</f>
        <v>520.94985218681052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824.01565821454358</v>
      </c>
      <c r="I121" s="292">
        <f>I130*F129</f>
        <v>875.25580353000157</v>
      </c>
    </row>
    <row r="122" spans="1:9" s="235" customFormat="1" ht="15" customHeight="1">
      <c r="A122" s="230"/>
      <c r="B122" s="238" t="s">
        <v>357</v>
      </c>
      <c r="C122" s="238"/>
      <c r="D122" s="238"/>
      <c r="E122" s="230" t="s">
        <v>358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359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360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361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362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363</v>
      </c>
      <c r="C127" s="238"/>
      <c r="D127" s="238"/>
      <c r="E127" s="249"/>
      <c r="F127" s="230" t="s">
        <v>364</v>
      </c>
      <c r="G127" s="230"/>
      <c r="H127" s="292"/>
      <c r="I127" s="292"/>
    </row>
    <row r="128" spans="1:9" s="235" customFormat="1" ht="15" customHeight="1">
      <c r="A128" s="230"/>
      <c r="B128" s="238" t="s">
        <v>365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Santos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6218.986099732404</v>
      </c>
      <c r="I130" s="259">
        <f>(I115+I119+I120)/(1-F129)</f>
        <v>6605.7041775849175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5449.4650924422831</v>
      </c>
      <c r="I132" s="299"/>
    </row>
    <row r="133" spans="1:9" s="235" customFormat="1" ht="26.25" customHeight="1">
      <c r="A133" s="254" t="s">
        <v>366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367</v>
      </c>
      <c r="C134" s="17"/>
      <c r="D134" s="17"/>
      <c r="E134" s="17"/>
      <c r="F134" s="17"/>
      <c r="G134" s="17"/>
      <c r="H134" s="246" t="str">
        <f>Licitante!$B$2</f>
        <v>Santos / SP</v>
      </c>
      <c r="I134" s="247" t="s">
        <v>284</v>
      </c>
    </row>
    <row r="135" spans="1:9" s="235" customFormat="1" ht="31" customHeight="1">
      <c r="A135" s="245" t="s">
        <v>66</v>
      </c>
      <c r="B135" s="238" t="s">
        <v>368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290</v>
      </c>
      <c r="C136" s="238"/>
      <c r="D136" s="238"/>
      <c r="E136" s="238"/>
      <c r="F136" s="238"/>
      <c r="G136" s="238"/>
      <c r="H136" s="257">
        <f>H71</f>
        <v>1947.6923454545458</v>
      </c>
      <c r="I136" s="257">
        <f>I71</f>
        <v>2019.8058727272728</v>
      </c>
    </row>
    <row r="137" spans="1:9" s="235" customFormat="1" ht="28.4" customHeight="1">
      <c r="A137" s="245" t="s">
        <v>71</v>
      </c>
      <c r="B137" s="238" t="s">
        <v>369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333</v>
      </c>
      <c r="C138" s="238"/>
      <c r="D138" s="238"/>
      <c r="E138" s="238"/>
      <c r="F138" s="238"/>
      <c r="G138" s="238"/>
      <c r="H138" s="257">
        <f>H104</f>
        <v>272.73534688177267</v>
      </c>
      <c r="I138" s="257">
        <f>I104</f>
        <v>291.32684572624106</v>
      </c>
    </row>
    <row r="139" spans="1:9" s="235" customFormat="1" ht="29.95" customHeight="1">
      <c r="A139" s="245" t="s">
        <v>77</v>
      </c>
      <c r="B139" s="238" t="s">
        <v>349</v>
      </c>
      <c r="C139" s="238"/>
      <c r="D139" s="238"/>
      <c r="E139" s="238"/>
      <c r="F139" s="238"/>
      <c r="G139" s="238"/>
      <c r="H139" s="257">
        <f>H112</f>
        <v>630.73849284168239</v>
      </c>
      <c r="I139" s="257">
        <f>I112</f>
        <v>665.59334297540238</v>
      </c>
    </row>
    <row r="140" spans="1:9" s="235" customFormat="1" ht="28.4" customHeight="1">
      <c r="A140" s="17" t="s">
        <v>370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4670.9700792362428</v>
      </c>
      <c r="I140" s="248">
        <f t="shared" si="12"/>
        <v>4961.4271636839094</v>
      </c>
    </row>
    <row r="141" spans="1:9" s="235" customFormat="1" ht="31" customHeight="1">
      <c r="A141" s="245" t="s">
        <v>90</v>
      </c>
      <c r="B141" s="238" t="s">
        <v>371</v>
      </c>
      <c r="C141" s="238"/>
      <c r="D141" s="238"/>
      <c r="E141" s="238"/>
      <c r="F141" s="238"/>
      <c r="G141" s="238"/>
      <c r="H141" s="257">
        <f t="shared" ref="H141:I141" si="13">H130</f>
        <v>6218.986099732404</v>
      </c>
      <c r="I141" s="257">
        <f t="shared" si="13"/>
        <v>6605.7041775849175</v>
      </c>
    </row>
    <row r="142" spans="1:9" s="235" customFormat="1" ht="38.299999999999997" customHeight="1">
      <c r="A142" s="17" t="s">
        <v>372</v>
      </c>
      <c r="B142" s="17"/>
      <c r="C142" s="17"/>
      <c r="D142" s="17"/>
      <c r="E142" s="17"/>
      <c r="F142" s="17"/>
      <c r="G142" s="17"/>
      <c r="H142" s="300">
        <f>ROUND((H115+H119+H120)/(1-(F129)),2)</f>
        <v>6218.99</v>
      </c>
      <c r="I142" s="300">
        <f>ROUND((I115+I119+I120)/(1-(F129)),2)</f>
        <v>6605.7</v>
      </c>
    </row>
    <row r="144" spans="1:9" ht="38.299999999999997" customHeight="1">
      <c r="A144" s="69" t="s">
        <v>373</v>
      </c>
      <c r="B144" s="69"/>
      <c r="C144" s="69"/>
      <c r="D144" s="69"/>
      <c r="E144" s="69"/>
      <c r="F144" s="69"/>
      <c r="G144" s="69"/>
      <c r="H144" s="301">
        <f>I142-H142</f>
        <v>386.71000000000004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BF821-9A9D-451F-BF4D-743BE5225C63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255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256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257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258</v>
      </c>
      <c r="B4" s="221"/>
      <c r="C4" s="221"/>
      <c r="D4" s="221"/>
      <c r="E4" s="221"/>
      <c r="F4" s="222" t="s">
        <v>259</v>
      </c>
      <c r="G4" s="37"/>
      <c r="H4" s="37"/>
    </row>
    <row r="5" spans="1:8" ht="20.3" customHeight="1">
      <c r="A5" s="17" t="s">
        <v>260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261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262</v>
      </c>
      <c r="C7" s="225"/>
      <c r="D7" s="225"/>
      <c r="E7" s="225"/>
      <c r="F7" s="225"/>
      <c r="G7" s="225"/>
      <c r="H7" s="228" t="str">
        <f>Licitante!$B$2</f>
        <v>Santos / SP</v>
      </c>
    </row>
    <row r="8" spans="1:8" s="227" customFormat="1" ht="20.3" customHeight="1">
      <c r="A8" s="224" t="s">
        <v>71</v>
      </c>
      <c r="B8" s="225" t="s">
        <v>263</v>
      </c>
      <c r="C8" s="225"/>
      <c r="D8" s="225"/>
      <c r="E8" s="225"/>
      <c r="F8" s="225"/>
      <c r="G8" s="225"/>
      <c r="H8" s="226" t="s">
        <v>264</v>
      </c>
    </row>
    <row r="9" spans="1:8" s="227" customFormat="1" ht="20.3" customHeight="1">
      <c r="A9" s="224" t="s">
        <v>74</v>
      </c>
      <c r="B9" s="225" t="s">
        <v>265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266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267</v>
      </c>
      <c r="B11" s="230"/>
      <c r="C11" s="230"/>
      <c r="D11" s="230" t="s">
        <v>268</v>
      </c>
      <c r="E11" s="230"/>
      <c r="F11" s="231" t="s">
        <v>269</v>
      </c>
      <c r="G11" s="231"/>
      <c r="H11" s="231"/>
    </row>
    <row r="12" spans="1:8" s="220" customFormat="1" ht="20.3" customHeight="1">
      <c r="A12" s="230" t="s">
        <v>270</v>
      </c>
      <c r="B12" s="230"/>
      <c r="C12" s="230"/>
      <c r="D12" s="230" t="s">
        <v>271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14112.59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272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273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274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275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276</v>
      </c>
      <c r="C18" s="225"/>
      <c r="D18" s="225"/>
      <c r="E18" s="225"/>
      <c r="F18" s="225"/>
      <c r="G18" s="225"/>
      <c r="H18" s="229" t="s">
        <v>270</v>
      </c>
    </row>
    <row r="19" spans="1:8" s="227" customFormat="1" ht="20.3" customHeight="1">
      <c r="A19" s="224">
        <v>2</v>
      </c>
      <c r="B19" s="238" t="s">
        <v>277</v>
      </c>
      <c r="C19" s="238"/>
      <c r="D19" s="238"/>
      <c r="E19" s="238"/>
      <c r="F19" s="238"/>
      <c r="G19" s="238"/>
      <c r="H19" s="229" t="s">
        <v>278</v>
      </c>
    </row>
    <row r="20" spans="1:8" s="227" customFormat="1" ht="20.3" customHeight="1">
      <c r="A20" s="224">
        <v>3</v>
      </c>
      <c r="B20" s="225" t="s">
        <v>279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280</v>
      </c>
      <c r="C21" s="225"/>
      <c r="D21" s="225"/>
      <c r="E21" s="225"/>
      <c r="F21" s="225"/>
      <c r="G21" s="225"/>
      <c r="H21" s="229" t="s">
        <v>270</v>
      </c>
    </row>
    <row r="22" spans="1:8" s="227" customFormat="1" ht="20.3" customHeight="1">
      <c r="A22" s="224">
        <v>5</v>
      </c>
      <c r="B22" s="225" t="s">
        <v>281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282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283</v>
      </c>
      <c r="C25" s="17"/>
      <c r="D25" s="17"/>
      <c r="E25" s="17"/>
      <c r="F25" s="17"/>
      <c r="G25" s="17"/>
      <c r="H25" s="246" t="str">
        <f>Licitante!$B$2</f>
        <v>Santos / SP</v>
      </c>
    </row>
    <row r="26" spans="1:8" s="235" customFormat="1" ht="20.3" customHeight="1">
      <c r="A26" s="224" t="s">
        <v>66</v>
      </c>
      <c r="B26" s="238" t="s">
        <v>285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286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287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288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289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290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291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292</v>
      </c>
      <c r="B36" s="17" t="s">
        <v>293</v>
      </c>
      <c r="C36" s="17"/>
      <c r="D36" s="17"/>
      <c r="E36" s="17"/>
      <c r="F36" s="17"/>
      <c r="G36" s="245" t="s">
        <v>65</v>
      </c>
      <c r="H36" s="303" t="str">
        <f>Licitante!$B$2</f>
        <v>Santos / SP</v>
      </c>
    </row>
    <row r="37" spans="1:8" s="235" customFormat="1" ht="20.3" customHeight="1">
      <c r="A37" s="224" t="s">
        <v>66</v>
      </c>
      <c r="B37" s="238" t="s">
        <v>294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295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296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297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298</v>
      </c>
      <c r="B42" s="17" t="s">
        <v>299</v>
      </c>
      <c r="C42" s="17"/>
      <c r="D42" s="17"/>
      <c r="E42" s="17"/>
      <c r="F42" s="17"/>
      <c r="G42" s="245" t="s">
        <v>65</v>
      </c>
      <c r="H42" s="303" t="str">
        <f>Licitante!$B$2</f>
        <v>Santos / SP</v>
      </c>
    </row>
    <row r="43" spans="1:8" s="235" customFormat="1" ht="20.3" customHeight="1">
      <c r="A43" s="224" t="s">
        <v>66</v>
      </c>
      <c r="B43" s="225" t="s">
        <v>300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301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302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303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304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305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306</v>
      </c>
      <c r="B50" s="238" t="s">
        <v>307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308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309</v>
      </c>
      <c r="B53" s="17" t="s">
        <v>310</v>
      </c>
      <c r="C53" s="17"/>
      <c r="D53" s="17"/>
      <c r="E53" s="17"/>
      <c r="F53" s="17"/>
      <c r="G53" s="17"/>
      <c r="H53" s="303" t="str">
        <f>Licitante!$B$2</f>
        <v>Santos / SP</v>
      </c>
    </row>
    <row r="54" spans="1:8" ht="20.3" customHeight="1">
      <c r="A54" s="224" t="s">
        <v>66</v>
      </c>
      <c r="B54" s="238" t="s">
        <v>311</v>
      </c>
      <c r="C54" s="238"/>
      <c r="D54" s="238"/>
      <c r="E54" s="238"/>
      <c r="F54" s="238"/>
      <c r="G54" s="238"/>
      <c r="H54" s="304">
        <f>Licitante!I39</f>
        <v>170.64899999999997</v>
      </c>
    </row>
    <row r="55" spans="1:8" ht="20.3" customHeight="1">
      <c r="A55" s="224" t="s">
        <v>68</v>
      </c>
      <c r="B55" s="238" t="s">
        <v>312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313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314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315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316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317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306</v>
      </c>
      <c r="B61" s="264" t="s">
        <v>318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319</v>
      </c>
      <c r="B62" s="264" t="s">
        <v>374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321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940.029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322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323</v>
      </c>
      <c r="C67" s="17"/>
      <c r="D67" s="17"/>
      <c r="E67" s="17"/>
      <c r="F67" s="17"/>
      <c r="G67" s="17"/>
      <c r="H67" s="303" t="str">
        <f>Licitante!$B$2</f>
        <v>Santos / SP</v>
      </c>
    </row>
    <row r="68" spans="1:8" s="235" customFormat="1" ht="20.3" customHeight="1">
      <c r="A68" s="224" t="s">
        <v>292</v>
      </c>
      <c r="B68" s="238" t="s">
        <v>324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298</v>
      </c>
      <c r="B69" s="238" t="s">
        <v>299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309</v>
      </c>
      <c r="B70" s="238" t="s">
        <v>310</v>
      </c>
      <c r="C70" s="238"/>
      <c r="D70" s="238"/>
      <c r="E70" s="238"/>
      <c r="F70" s="238"/>
      <c r="G70" s="238"/>
      <c r="H70" s="306">
        <f t="shared" ref="H70" si="3">H64</f>
        <v>940.029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1479.3546872727272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325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326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327</v>
      </c>
      <c r="C75" s="17"/>
      <c r="D75" s="17"/>
      <c r="E75" s="17"/>
      <c r="F75" s="17"/>
      <c r="G75" s="17"/>
      <c r="H75" s="303" t="str">
        <f>Licitante!$B$2</f>
        <v>Santos / SP</v>
      </c>
    </row>
    <row r="76" spans="1:8" s="235" customFormat="1" ht="20.3" customHeight="1">
      <c r="A76" s="224" t="s">
        <v>66</v>
      </c>
      <c r="B76" s="238" t="s">
        <v>328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329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330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331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332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333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334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335</v>
      </c>
      <c r="B85" s="17"/>
      <c r="C85" s="17"/>
      <c r="D85" s="17"/>
      <c r="E85" s="17"/>
      <c r="F85" s="17"/>
      <c r="G85" s="17"/>
      <c r="H85" s="306">
        <f>H32+H71-(H54+H55+H62)+H81</f>
        <v>1829.7580237076722</v>
      </c>
    </row>
    <row r="86" spans="1:8" s="235" customFormat="1" ht="37.299999999999997" customHeight="1">
      <c r="A86" s="245" t="s">
        <v>336</v>
      </c>
      <c r="B86" s="282" t="s">
        <v>337</v>
      </c>
      <c r="C86" s="282"/>
      <c r="D86" s="282"/>
      <c r="E86" s="282"/>
      <c r="F86" s="282"/>
      <c r="G86" s="245" t="s">
        <v>65</v>
      </c>
      <c r="H86" s="303" t="str">
        <f>Licitante!$B$2</f>
        <v>Santos / SP</v>
      </c>
    </row>
    <row r="87" spans="1:8" s="235" customFormat="1" ht="32.4" customHeight="1">
      <c r="A87" s="224" t="s">
        <v>66</v>
      </c>
      <c r="B87" s="283" t="s">
        <v>338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339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5.0096044454693285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0.37572033341019956</v>
      </c>
    </row>
    <row r="90" spans="1:8" s="235" customFormat="1" ht="20.3" customHeight="1">
      <c r="A90" s="224" t="s">
        <v>74</v>
      </c>
      <c r="B90" s="285" t="s">
        <v>340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0.58612372011991143</v>
      </c>
    </row>
    <row r="91" spans="1:8" ht="20.3" customHeight="1">
      <c r="A91" s="224" t="s">
        <v>77</v>
      </c>
      <c r="B91" s="264" t="s">
        <v>341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12.023050669126388</v>
      </c>
    </row>
    <row r="92" spans="1:8" s="235" customFormat="1" ht="24.65" customHeight="1">
      <c r="A92" s="224" t="s">
        <v>90</v>
      </c>
      <c r="B92" s="264" t="s">
        <v>342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15.028813336407985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165.07457333098006</v>
      </c>
    </row>
    <row r="95" spans="1:8" s="235" customFormat="1" ht="20.3" customHeight="1">
      <c r="A95" s="254" t="s">
        <v>343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344</v>
      </c>
      <c r="B96" s="17" t="s">
        <v>345</v>
      </c>
      <c r="C96" s="17"/>
      <c r="D96" s="17"/>
      <c r="E96" s="17"/>
      <c r="F96" s="17"/>
      <c r="G96" s="17"/>
      <c r="H96" s="303" t="str">
        <f>Licitante!$B$2</f>
        <v>Santos / SP</v>
      </c>
    </row>
    <row r="97" spans="1:8" s="235" customFormat="1" ht="20.3" customHeight="1">
      <c r="A97" s="224" t="s">
        <v>66</v>
      </c>
      <c r="B97" s="238" t="s">
        <v>346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347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348</v>
      </c>
      <c r="C101" s="17"/>
      <c r="D101" s="17"/>
      <c r="E101" s="17"/>
      <c r="F101" s="17"/>
      <c r="G101" s="17"/>
      <c r="H101" s="303" t="str">
        <f>Licitante!$B$2</f>
        <v>Santos / SP</v>
      </c>
    </row>
    <row r="102" spans="1:8" s="235" customFormat="1" ht="20.3" customHeight="1">
      <c r="A102" s="224" t="s">
        <v>336</v>
      </c>
      <c r="B102" s="238" t="s">
        <v>337</v>
      </c>
      <c r="C102" s="238"/>
      <c r="D102" s="238"/>
      <c r="E102" s="238"/>
      <c r="F102" s="238"/>
      <c r="G102" s="238"/>
      <c r="H102" s="304">
        <f t="shared" ref="H102" si="8">H94</f>
        <v>165.07457333098006</v>
      </c>
    </row>
    <row r="103" spans="1:8" s="235" customFormat="1" ht="20.3" customHeight="1">
      <c r="A103" s="224" t="s">
        <v>344</v>
      </c>
      <c r="B103" s="238" t="s">
        <v>345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165.07457333098006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349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350</v>
      </c>
      <c r="C107" s="17"/>
      <c r="D107" s="17"/>
      <c r="E107" s="17"/>
      <c r="F107" s="17"/>
      <c r="G107" s="17"/>
      <c r="H107" s="303" t="str">
        <f>Licitante!$B$2</f>
        <v>Santos / SP</v>
      </c>
    </row>
    <row r="108" spans="1:8" s="235" customFormat="1" ht="20.45" customHeight="1">
      <c r="A108" s="224" t="s">
        <v>66</v>
      </c>
      <c r="B108" s="238" t="s">
        <v>351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352</v>
      </c>
      <c r="C109" s="238"/>
      <c r="D109" s="238"/>
      <c r="E109" s="238"/>
      <c r="F109" s="238"/>
      <c r="G109" s="238"/>
      <c r="H109" s="304">
        <f>H115*Licitante!H127</f>
        <v>382.70913823254341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452.93122156587674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353</v>
      </c>
      <c r="B114" s="17"/>
      <c r="C114" s="17"/>
      <c r="D114" s="17"/>
      <c r="E114" s="17"/>
      <c r="F114" s="17"/>
      <c r="G114" s="17"/>
      <c r="H114" s="303" t="str">
        <f>Licitante!$B$2</f>
        <v>Santos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3189.2428186045286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354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355</v>
      </c>
      <c r="C118" s="17"/>
      <c r="D118" s="17"/>
      <c r="E118" s="17"/>
      <c r="F118" s="17"/>
      <c r="G118" s="245" t="s">
        <v>65</v>
      </c>
      <c r="H118" s="303" t="str">
        <f>Licitante!$B$2</f>
        <v>Santos / SP</v>
      </c>
    </row>
    <row r="119" spans="1:8" s="235" customFormat="1" ht="20.3" customHeight="1">
      <c r="A119" s="224" t="s">
        <v>66</v>
      </c>
      <c r="B119" s="238" t="s">
        <v>356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159.46214093022644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334.87049595347548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562.62103498811598</v>
      </c>
    </row>
    <row r="122" spans="1:8" s="235" customFormat="1" ht="15" customHeight="1">
      <c r="A122" s="230"/>
      <c r="B122" s="238" t="s">
        <v>357</v>
      </c>
      <c r="C122" s="238"/>
      <c r="D122" s="238"/>
      <c r="E122" s="230" t="s">
        <v>358</v>
      </c>
      <c r="F122" s="230"/>
      <c r="G122" s="230"/>
      <c r="H122" s="318"/>
    </row>
    <row r="123" spans="1:8" s="235" customFormat="1" ht="20.3" customHeight="1">
      <c r="A123" s="230"/>
      <c r="B123" s="238" t="s">
        <v>359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360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361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362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363</v>
      </c>
      <c r="C127" s="238"/>
      <c r="D127" s="238"/>
      <c r="E127" s="249"/>
      <c r="F127" s="230" t="s">
        <v>364</v>
      </c>
      <c r="G127" s="230"/>
      <c r="H127" s="318"/>
    </row>
    <row r="128" spans="1:8" s="235" customFormat="1" ht="15" customHeight="1">
      <c r="A128" s="230"/>
      <c r="B128" s="238" t="s">
        <v>365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4246.1964904763472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3720.7832883719498</v>
      </c>
    </row>
    <row r="133" spans="1:8" s="235" customFormat="1" ht="26.25" customHeight="1">
      <c r="A133" s="254" t="s">
        <v>366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367</v>
      </c>
      <c r="C134" s="17"/>
      <c r="D134" s="17"/>
      <c r="E134" s="17"/>
      <c r="F134" s="17"/>
      <c r="G134" s="17"/>
      <c r="H134" s="303" t="str">
        <f>Licitante!$B$2</f>
        <v>Santos / SP</v>
      </c>
    </row>
    <row r="135" spans="1:8" s="235" customFormat="1" ht="31" customHeight="1">
      <c r="A135" s="245" t="s">
        <v>66</v>
      </c>
      <c r="B135" s="238" t="s">
        <v>368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290</v>
      </c>
      <c r="C136" s="238"/>
      <c r="D136" s="238"/>
      <c r="E136" s="238"/>
      <c r="F136" s="238"/>
      <c r="G136" s="238"/>
      <c r="H136" s="304">
        <f>H71</f>
        <v>1479.3546872727272</v>
      </c>
    </row>
    <row r="137" spans="1:8" s="235" customFormat="1" ht="28.4" customHeight="1">
      <c r="A137" s="245" t="s">
        <v>71</v>
      </c>
      <c r="B137" s="238" t="s">
        <v>369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333</v>
      </c>
      <c r="C138" s="238"/>
      <c r="D138" s="238"/>
      <c r="E138" s="238"/>
      <c r="F138" s="238"/>
      <c r="G138" s="238"/>
      <c r="H138" s="304">
        <f>H104</f>
        <v>165.07457333098006</v>
      </c>
    </row>
    <row r="139" spans="1:8" s="235" customFormat="1" ht="29.95" customHeight="1">
      <c r="A139" s="245" t="s">
        <v>77</v>
      </c>
      <c r="B139" s="238" t="s">
        <v>349</v>
      </c>
      <c r="C139" s="238"/>
      <c r="D139" s="238"/>
      <c r="E139" s="238"/>
      <c r="F139" s="238"/>
      <c r="G139" s="238"/>
      <c r="H139" s="304">
        <f>H112</f>
        <v>452.93122156587674</v>
      </c>
    </row>
    <row r="140" spans="1:8" s="235" customFormat="1" ht="28.4" customHeight="1">
      <c r="A140" s="17" t="s">
        <v>370</v>
      </c>
      <c r="B140" s="17"/>
      <c r="C140" s="17"/>
      <c r="D140" s="17"/>
      <c r="E140" s="17"/>
      <c r="F140" s="17"/>
      <c r="G140" s="17"/>
      <c r="H140" s="309">
        <f t="shared" ref="H140" si="12">SUM(H135:H139)</f>
        <v>3189.242818604529</v>
      </c>
    </row>
    <row r="141" spans="1:8" s="235" customFormat="1" ht="31" customHeight="1">
      <c r="A141" s="245" t="s">
        <v>90</v>
      </c>
      <c r="B141" s="238" t="s">
        <v>371</v>
      </c>
      <c r="C141" s="238"/>
      <c r="D141" s="238"/>
      <c r="E141" s="238"/>
      <c r="F141" s="238"/>
      <c r="G141" s="238"/>
      <c r="H141" s="304">
        <f t="shared" ref="H141" si="13">H130</f>
        <v>4246.1964904763472</v>
      </c>
    </row>
    <row r="142" spans="1:8" s="235" customFormat="1" ht="38.299999999999997" customHeight="1">
      <c r="A142" s="17" t="s">
        <v>372</v>
      </c>
      <c r="B142" s="17"/>
      <c r="C142" s="17"/>
      <c r="D142" s="17"/>
      <c r="E142" s="17"/>
      <c r="F142" s="17"/>
      <c r="G142" s="17"/>
      <c r="H142" s="320">
        <f>ROUND((H115+H119+H120)/(1-(F129)),2)</f>
        <v>4246.2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F5ED-40D1-41F4-9457-A4D44C032632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255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256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257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258</v>
      </c>
      <c r="B4" s="221"/>
      <c r="C4" s="221"/>
      <c r="D4" s="221"/>
      <c r="E4" s="221"/>
      <c r="F4" s="222" t="s">
        <v>259</v>
      </c>
      <c r="G4" s="37"/>
      <c r="H4" s="37"/>
    </row>
    <row r="5" spans="1:8" ht="20.3" customHeight="1">
      <c r="A5" s="17" t="s">
        <v>260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261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262</v>
      </c>
      <c r="C7" s="225"/>
      <c r="D7" s="225"/>
      <c r="E7" s="225"/>
      <c r="F7" s="225"/>
      <c r="G7" s="225"/>
      <c r="H7" s="228" t="str">
        <f>Licitante!$B$2</f>
        <v>Santos / SP</v>
      </c>
    </row>
    <row r="8" spans="1:8" s="227" customFormat="1" ht="20.3" customHeight="1">
      <c r="A8" s="224" t="s">
        <v>71</v>
      </c>
      <c r="B8" s="225" t="s">
        <v>263</v>
      </c>
      <c r="C8" s="225"/>
      <c r="D8" s="225"/>
      <c r="E8" s="225"/>
      <c r="F8" s="225"/>
      <c r="G8" s="225"/>
      <c r="H8" s="226" t="s">
        <v>264</v>
      </c>
    </row>
    <row r="9" spans="1:8" s="227" customFormat="1" ht="20.3" customHeight="1">
      <c r="A9" s="224" t="s">
        <v>74</v>
      </c>
      <c r="B9" s="225" t="s">
        <v>265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266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267</v>
      </c>
      <c r="B11" s="230"/>
      <c r="C11" s="230"/>
      <c r="D11" s="230" t="s">
        <v>268</v>
      </c>
      <c r="E11" s="230"/>
      <c r="F11" s="231" t="s">
        <v>269</v>
      </c>
      <c r="G11" s="231"/>
      <c r="H11" s="231"/>
    </row>
    <row r="12" spans="1:8" s="220" customFormat="1" ht="20.3" customHeight="1">
      <c r="A12" s="230" t="s">
        <v>270</v>
      </c>
      <c r="B12" s="230"/>
      <c r="C12" s="230"/>
      <c r="D12" s="230" t="s">
        <v>271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14112.59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272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273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274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275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276</v>
      </c>
      <c r="C18" s="225"/>
      <c r="D18" s="225"/>
      <c r="E18" s="225"/>
      <c r="F18" s="225"/>
      <c r="G18" s="225"/>
      <c r="H18" s="229" t="s">
        <v>270</v>
      </c>
    </row>
    <row r="19" spans="1:8" s="227" customFormat="1" ht="20.3" customHeight="1">
      <c r="A19" s="224">
        <v>2</v>
      </c>
      <c r="B19" s="238" t="s">
        <v>277</v>
      </c>
      <c r="C19" s="238"/>
      <c r="D19" s="238"/>
      <c r="E19" s="238"/>
      <c r="F19" s="238"/>
      <c r="G19" s="238"/>
      <c r="H19" s="229" t="s">
        <v>278</v>
      </c>
    </row>
    <row r="20" spans="1:8" s="227" customFormat="1" ht="20.3" customHeight="1">
      <c r="A20" s="224">
        <v>3</v>
      </c>
      <c r="B20" s="225" t="s">
        <v>279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280</v>
      </c>
      <c r="C21" s="225"/>
      <c r="D21" s="225"/>
      <c r="E21" s="225"/>
      <c r="F21" s="225"/>
      <c r="G21" s="225"/>
      <c r="H21" s="229" t="s">
        <v>270</v>
      </c>
    </row>
    <row r="22" spans="1:8" s="227" customFormat="1" ht="20.3" customHeight="1">
      <c r="A22" s="224">
        <v>5</v>
      </c>
      <c r="B22" s="225" t="s">
        <v>281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282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283</v>
      </c>
      <c r="C25" s="17"/>
      <c r="D25" s="17"/>
      <c r="E25" s="17"/>
      <c r="F25" s="17"/>
      <c r="G25" s="17"/>
      <c r="H25" s="246" t="str">
        <f>Licitante!$B$2</f>
        <v>Santos / SP</v>
      </c>
    </row>
    <row r="26" spans="1:8" s="235" customFormat="1" ht="20.3" customHeight="1">
      <c r="A26" s="224" t="s">
        <v>66</v>
      </c>
      <c r="B26" s="238" t="s">
        <v>285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286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287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288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289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290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291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292</v>
      </c>
      <c r="B36" s="17" t="s">
        <v>293</v>
      </c>
      <c r="C36" s="17"/>
      <c r="D36" s="17"/>
      <c r="E36" s="17"/>
      <c r="F36" s="17"/>
      <c r="G36" s="245" t="s">
        <v>65</v>
      </c>
      <c r="H36" s="303" t="str">
        <f>Licitante!$B$2</f>
        <v>Santos / SP</v>
      </c>
    </row>
    <row r="37" spans="1:8" s="235" customFormat="1" ht="20.3" customHeight="1">
      <c r="A37" s="224" t="s">
        <v>66</v>
      </c>
      <c r="B37" s="238" t="s">
        <v>294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295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296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297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298</v>
      </c>
      <c r="B42" s="17" t="s">
        <v>299</v>
      </c>
      <c r="C42" s="17"/>
      <c r="D42" s="17"/>
      <c r="E42" s="17"/>
      <c r="F42" s="17"/>
      <c r="G42" s="245" t="s">
        <v>65</v>
      </c>
      <c r="H42" s="303" t="str">
        <f>Licitante!$B$2</f>
        <v>Santos / SP</v>
      </c>
    </row>
    <row r="43" spans="1:8" s="235" customFormat="1" ht="20.3" customHeight="1">
      <c r="A43" s="224" t="s">
        <v>66</v>
      </c>
      <c r="B43" s="225" t="s">
        <v>300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301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302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303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304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305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306</v>
      </c>
      <c r="B50" s="238" t="s">
        <v>307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308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309</v>
      </c>
      <c r="B53" s="17" t="s">
        <v>310</v>
      </c>
      <c r="C53" s="17"/>
      <c r="D53" s="17"/>
      <c r="E53" s="17"/>
      <c r="F53" s="17"/>
      <c r="G53" s="17"/>
      <c r="H53" s="303" t="str">
        <f>Licitante!$B$2</f>
        <v>Santos / SP</v>
      </c>
    </row>
    <row r="54" spans="1:8" ht="20.3" customHeight="1">
      <c r="A54" s="224" t="s">
        <v>66</v>
      </c>
      <c r="B54" s="238" t="s">
        <v>311</v>
      </c>
      <c r="C54" s="238"/>
      <c r="D54" s="238"/>
      <c r="E54" s="238"/>
      <c r="F54" s="238"/>
      <c r="G54" s="238"/>
      <c r="H54" s="304">
        <f>Licitante!I33</f>
        <v>129.43619999999999</v>
      </c>
    </row>
    <row r="55" spans="1:8" ht="20.3" customHeight="1">
      <c r="A55" s="224" t="s">
        <v>68</v>
      </c>
      <c r="B55" s="238" t="s">
        <v>312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313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314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315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316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317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306</v>
      </c>
      <c r="B61" s="264" t="s">
        <v>318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319</v>
      </c>
      <c r="B62" s="264" t="s">
        <v>374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321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1048.8162000000002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322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323</v>
      </c>
      <c r="C67" s="17"/>
      <c r="D67" s="17"/>
      <c r="E67" s="17"/>
      <c r="F67" s="17"/>
      <c r="G67" s="17"/>
      <c r="H67" s="303" t="str">
        <f>Licitante!$B$2</f>
        <v>Santos / SP</v>
      </c>
    </row>
    <row r="68" spans="1:8" s="235" customFormat="1" ht="20.3" customHeight="1">
      <c r="A68" s="224" t="s">
        <v>292</v>
      </c>
      <c r="B68" s="238" t="s">
        <v>324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298</v>
      </c>
      <c r="B69" s="238" t="s">
        <v>299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309</v>
      </c>
      <c r="B70" s="238" t="s">
        <v>310</v>
      </c>
      <c r="C70" s="238"/>
      <c r="D70" s="238"/>
      <c r="E70" s="238"/>
      <c r="F70" s="238"/>
      <c r="G70" s="238"/>
      <c r="H70" s="306">
        <f t="shared" ref="H70" si="3">H64</f>
        <v>1048.8162000000002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2265.5339454545456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325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326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327</v>
      </c>
      <c r="C75" s="17"/>
      <c r="D75" s="17"/>
      <c r="E75" s="17"/>
      <c r="F75" s="17"/>
      <c r="G75" s="17"/>
      <c r="H75" s="303" t="str">
        <f>Licitante!$B$2</f>
        <v>Santos / SP</v>
      </c>
    </row>
    <row r="76" spans="1:8" s="235" customFormat="1" ht="20.3" customHeight="1">
      <c r="A76" s="224" t="s">
        <v>66</v>
      </c>
      <c r="B76" s="238" t="s">
        <v>328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329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330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331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332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333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334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335</v>
      </c>
      <c r="B85" s="17"/>
      <c r="C85" s="17"/>
      <c r="D85" s="17"/>
      <c r="E85" s="17"/>
      <c r="F85" s="17"/>
      <c r="G85" s="17"/>
      <c r="H85" s="306">
        <f>H32+H71-(H54+H55+H62)+H81</f>
        <v>3878.5522617304468</v>
      </c>
    </row>
    <row r="86" spans="1:8" s="235" customFormat="1" ht="37.299999999999997" customHeight="1">
      <c r="A86" s="245" t="s">
        <v>336</v>
      </c>
      <c r="B86" s="282" t="s">
        <v>337</v>
      </c>
      <c r="C86" s="282"/>
      <c r="D86" s="282"/>
      <c r="E86" s="282"/>
      <c r="F86" s="282"/>
      <c r="G86" s="245" t="s">
        <v>65</v>
      </c>
      <c r="H86" s="303" t="str">
        <f>Licitante!$B$2</f>
        <v>Santos / SP</v>
      </c>
    </row>
    <row r="87" spans="1:8" s="235" customFormat="1" ht="32.4" customHeight="1">
      <c r="A87" s="224" t="s">
        <v>66</v>
      </c>
      <c r="B87" s="283" t="s">
        <v>338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339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10.618897362711696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0.79641730220337703</v>
      </c>
    </row>
    <row r="90" spans="1:8" s="235" customFormat="1" ht="20.3" customHeight="1">
      <c r="A90" s="224" t="s">
        <v>74</v>
      </c>
      <c r="B90" s="285" t="s">
        <v>340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1.2424109914372683</v>
      </c>
    </row>
    <row r="91" spans="1:8" ht="20.3" customHeight="1">
      <c r="A91" s="224" t="s">
        <v>77</v>
      </c>
      <c r="B91" s="264" t="s">
        <v>341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25.485353670508069</v>
      </c>
    </row>
    <row r="92" spans="1:8" s="235" customFormat="1" ht="24.65" customHeight="1">
      <c r="A92" s="224" t="s">
        <v>90</v>
      </c>
      <c r="B92" s="264" t="s">
        <v>342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31.856692088135087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367.90716976210302</v>
      </c>
    </row>
    <row r="95" spans="1:8" s="235" customFormat="1" ht="20.3" customHeight="1">
      <c r="A95" s="254" t="s">
        <v>343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344</v>
      </c>
      <c r="B96" s="17" t="s">
        <v>345</v>
      </c>
      <c r="C96" s="17"/>
      <c r="D96" s="17"/>
      <c r="E96" s="17"/>
      <c r="F96" s="17"/>
      <c r="G96" s="17"/>
      <c r="H96" s="303" t="str">
        <f>Licitante!$B$2</f>
        <v>Santos / SP</v>
      </c>
    </row>
    <row r="97" spans="1:8" s="235" customFormat="1" ht="20.3" customHeight="1">
      <c r="A97" s="224" t="s">
        <v>66</v>
      </c>
      <c r="B97" s="238" t="s">
        <v>346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347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348</v>
      </c>
      <c r="C101" s="17"/>
      <c r="D101" s="17"/>
      <c r="E101" s="17"/>
      <c r="F101" s="17"/>
      <c r="G101" s="17"/>
      <c r="H101" s="303" t="str">
        <f>Licitante!$B$2</f>
        <v>Santos / SP</v>
      </c>
    </row>
    <row r="102" spans="1:8" s="235" customFormat="1" ht="20.3" customHeight="1">
      <c r="A102" s="224" t="s">
        <v>336</v>
      </c>
      <c r="B102" s="238" t="s">
        <v>337</v>
      </c>
      <c r="C102" s="238"/>
      <c r="D102" s="238"/>
      <c r="E102" s="238"/>
      <c r="F102" s="238"/>
      <c r="G102" s="238"/>
      <c r="H102" s="304">
        <f t="shared" ref="H102" si="8">H94</f>
        <v>367.90716976210302</v>
      </c>
    </row>
    <row r="103" spans="1:8" s="235" customFormat="1" ht="20.3" customHeight="1">
      <c r="A103" s="224" t="s">
        <v>344</v>
      </c>
      <c r="B103" s="238" t="s">
        <v>345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367.90716976210302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349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350</v>
      </c>
      <c r="C107" s="17"/>
      <c r="D107" s="17"/>
      <c r="E107" s="17"/>
      <c r="F107" s="17"/>
      <c r="G107" s="17"/>
      <c r="H107" s="303" t="str">
        <f>Licitante!$B$2</f>
        <v>Santos / SP</v>
      </c>
    </row>
    <row r="108" spans="1:8" s="235" customFormat="1" ht="20.45" customHeight="1">
      <c r="A108" s="224" t="s">
        <v>66</v>
      </c>
      <c r="B108" s="238" t="s">
        <v>351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352</v>
      </c>
      <c r="C109" s="238"/>
      <c r="D109" s="238"/>
      <c r="E109" s="238"/>
      <c r="F109" s="238"/>
      <c r="G109" s="238"/>
      <c r="H109" s="304">
        <f>H115*Licitante!H127</f>
        <v>704.5837792944385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774.80586262777183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353</v>
      </c>
      <c r="B114" s="17"/>
      <c r="C114" s="17"/>
      <c r="D114" s="17"/>
      <c r="E114" s="17"/>
      <c r="F114" s="17"/>
      <c r="G114" s="17"/>
      <c r="H114" s="303" t="str">
        <f>Licitante!$B$2</f>
        <v>Santos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5871.5314941203214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354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355</v>
      </c>
      <c r="C118" s="17"/>
      <c r="D118" s="17"/>
      <c r="E118" s="17"/>
      <c r="F118" s="17"/>
      <c r="G118" s="245" t="s">
        <v>65</v>
      </c>
      <c r="H118" s="303" t="str">
        <f>Licitante!$B$2</f>
        <v>Santos / SP</v>
      </c>
    </row>
    <row r="119" spans="1:8" s="235" customFormat="1" ht="20.3" customHeight="1">
      <c r="A119" s="224" t="s">
        <v>66</v>
      </c>
      <c r="B119" s="238" t="s">
        <v>356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293.57657470601606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616.5108068826338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1035.8092230909958</v>
      </c>
    </row>
    <row r="122" spans="1:8" s="235" customFormat="1" ht="15" customHeight="1">
      <c r="A122" s="230"/>
      <c r="B122" s="238" t="s">
        <v>357</v>
      </c>
      <c r="C122" s="238"/>
      <c r="D122" s="238"/>
      <c r="E122" s="230" t="s">
        <v>358</v>
      </c>
      <c r="F122" s="230"/>
      <c r="G122" s="230"/>
      <c r="H122" s="318"/>
    </row>
    <row r="123" spans="1:8" s="235" customFormat="1" ht="20.3" customHeight="1">
      <c r="A123" s="230"/>
      <c r="B123" s="238" t="s">
        <v>359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360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361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362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363</v>
      </c>
      <c r="C127" s="238"/>
      <c r="D127" s="238"/>
      <c r="E127" s="249"/>
      <c r="F127" s="230" t="s">
        <v>364</v>
      </c>
      <c r="G127" s="230"/>
      <c r="H127" s="318"/>
    </row>
    <row r="128" spans="1:8" s="235" customFormat="1" ht="15" customHeight="1">
      <c r="A128" s="230"/>
      <c r="B128" s="238" t="s">
        <v>365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7817.4280987999673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6850.1200764737077</v>
      </c>
    </row>
    <row r="133" spans="1:8" s="235" customFormat="1" ht="26.25" customHeight="1">
      <c r="A133" s="254" t="s">
        <v>366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367</v>
      </c>
      <c r="C134" s="17"/>
      <c r="D134" s="17"/>
      <c r="E134" s="17"/>
      <c r="F134" s="17"/>
      <c r="G134" s="17"/>
      <c r="H134" s="303" t="str">
        <f>Licitante!$B$2</f>
        <v>Santos / SP</v>
      </c>
    </row>
    <row r="135" spans="1:8" s="235" customFormat="1" ht="31" customHeight="1">
      <c r="A135" s="245" t="s">
        <v>66</v>
      </c>
      <c r="B135" s="238" t="s">
        <v>368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290</v>
      </c>
      <c r="C136" s="238"/>
      <c r="D136" s="238"/>
      <c r="E136" s="238"/>
      <c r="F136" s="238"/>
      <c r="G136" s="238"/>
      <c r="H136" s="304">
        <f>H71</f>
        <v>2265.5339454545456</v>
      </c>
    </row>
    <row r="137" spans="1:8" s="235" customFormat="1" ht="28.4" customHeight="1">
      <c r="A137" s="245" t="s">
        <v>71</v>
      </c>
      <c r="B137" s="238" t="s">
        <v>369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333</v>
      </c>
      <c r="C138" s="238"/>
      <c r="D138" s="238"/>
      <c r="E138" s="238"/>
      <c r="F138" s="238"/>
      <c r="G138" s="238"/>
      <c r="H138" s="304">
        <f>H104</f>
        <v>367.90716976210302</v>
      </c>
    </row>
    <row r="139" spans="1:8" s="235" customFormat="1" ht="29.95" customHeight="1">
      <c r="A139" s="245" t="s">
        <v>77</v>
      </c>
      <c r="B139" s="238" t="s">
        <v>349</v>
      </c>
      <c r="C139" s="238"/>
      <c r="D139" s="238"/>
      <c r="E139" s="238"/>
      <c r="F139" s="238"/>
      <c r="G139" s="238"/>
      <c r="H139" s="304">
        <f>H112</f>
        <v>774.80586262777183</v>
      </c>
    </row>
    <row r="140" spans="1:8" s="235" customFormat="1" ht="28.4" customHeight="1">
      <c r="A140" s="17" t="s">
        <v>370</v>
      </c>
      <c r="B140" s="17"/>
      <c r="C140" s="17"/>
      <c r="D140" s="17"/>
      <c r="E140" s="17"/>
      <c r="F140" s="17"/>
      <c r="G140" s="17"/>
      <c r="H140" s="309">
        <f t="shared" ref="H140" si="12">SUM(H135:H139)</f>
        <v>5871.5314941203214</v>
      </c>
    </row>
    <row r="141" spans="1:8" s="235" customFormat="1" ht="31" customHeight="1">
      <c r="A141" s="245" t="s">
        <v>90</v>
      </c>
      <c r="B141" s="238" t="s">
        <v>371</v>
      </c>
      <c r="C141" s="238"/>
      <c r="D141" s="238"/>
      <c r="E141" s="238"/>
      <c r="F141" s="238"/>
      <c r="G141" s="238"/>
      <c r="H141" s="304">
        <f t="shared" ref="H141" si="13">H130</f>
        <v>7817.4280987999673</v>
      </c>
    </row>
    <row r="142" spans="1:8" s="235" customFormat="1" ht="38.299999999999997" customHeight="1">
      <c r="A142" s="17" t="s">
        <v>372</v>
      </c>
      <c r="B142" s="17"/>
      <c r="C142" s="17"/>
      <c r="D142" s="17"/>
      <c r="E142" s="17"/>
      <c r="F142" s="17"/>
      <c r="G142" s="17"/>
      <c r="H142" s="320">
        <f>ROUND((H115+H119+H120)/(1-(F129)),2)</f>
        <v>7817.43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38EF4-8823-49D9-84EC-6A79F281E04F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375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256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257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258</v>
      </c>
      <c r="B4" s="221">
        <f>Licitante!I1</f>
        <v>0</v>
      </c>
      <c r="C4" s="221"/>
      <c r="D4" s="221"/>
      <c r="E4" s="221"/>
      <c r="F4" s="222" t="s">
        <v>259</v>
      </c>
      <c r="G4" s="37" t="s">
        <v>376</v>
      </c>
      <c r="H4" s="37"/>
    </row>
    <row r="5" spans="1:8" ht="20.3" customHeight="1">
      <c r="A5" s="17" t="s">
        <v>260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261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262</v>
      </c>
      <c r="C7" s="225"/>
      <c r="D7" s="225"/>
      <c r="E7" s="225"/>
      <c r="F7" s="225"/>
      <c r="G7" s="225"/>
      <c r="H7" s="229" t="str">
        <f>Licitante!$B$2</f>
        <v>Santos / SP</v>
      </c>
    </row>
    <row r="8" spans="1:8" ht="20.3" customHeight="1">
      <c r="A8" s="224" t="s">
        <v>71</v>
      </c>
      <c r="B8" s="225" t="s">
        <v>263</v>
      </c>
      <c r="C8" s="225"/>
      <c r="D8" s="225"/>
      <c r="E8" s="225"/>
      <c r="F8" s="225"/>
      <c r="G8" s="225"/>
      <c r="H8" s="226" t="s">
        <v>377</v>
      </c>
    </row>
    <row r="9" spans="1:8" ht="20.3" customHeight="1">
      <c r="A9" s="224" t="s">
        <v>74</v>
      </c>
      <c r="B9" s="225" t="s">
        <v>265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266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267</v>
      </c>
      <c r="B11" s="230"/>
      <c r="C11" s="230"/>
      <c r="D11" s="230" t="s">
        <v>268</v>
      </c>
      <c r="E11" s="230"/>
      <c r="F11" s="231" t="s">
        <v>269</v>
      </c>
      <c r="G11" s="231"/>
      <c r="H11" s="231"/>
    </row>
    <row r="12" spans="1:8" ht="27.65" customHeight="1">
      <c r="A12" s="230" t="s">
        <v>378</v>
      </c>
      <c r="B12" s="230"/>
      <c r="C12" s="230"/>
      <c r="D12" s="230" t="s">
        <v>379</v>
      </c>
      <c r="E12" s="230"/>
      <c r="F12" s="232">
        <f>'Áreas a serem limpas'!B29+'Áreas a serem limpas'!B30</f>
        <v>1000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272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273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274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275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276</v>
      </c>
      <c r="C18" s="225"/>
      <c r="D18" s="225"/>
      <c r="E18" s="225"/>
      <c r="F18" s="225"/>
      <c r="G18" s="225"/>
      <c r="H18" s="229" t="s">
        <v>378</v>
      </c>
    </row>
    <row r="19" spans="1:8" ht="20.3" customHeight="1">
      <c r="A19" s="224">
        <v>2</v>
      </c>
      <c r="B19" s="238" t="s">
        <v>277</v>
      </c>
      <c r="C19" s="238"/>
      <c r="D19" s="238"/>
      <c r="E19" s="238"/>
      <c r="F19" s="238"/>
      <c r="G19" s="238"/>
      <c r="H19" s="229" t="s">
        <v>380</v>
      </c>
    </row>
    <row r="20" spans="1:8" ht="20.3" customHeight="1">
      <c r="A20" s="224">
        <v>3</v>
      </c>
      <c r="B20" s="225" t="s">
        <v>279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280</v>
      </c>
      <c r="C21" s="225"/>
      <c r="D21" s="225"/>
      <c r="E21" s="225"/>
      <c r="F21" s="225"/>
      <c r="G21" s="225"/>
      <c r="H21" s="229" t="s">
        <v>378</v>
      </c>
    </row>
    <row r="22" spans="1:8" ht="20.3" customHeight="1">
      <c r="A22" s="224">
        <v>5</v>
      </c>
      <c r="B22" s="225" t="s">
        <v>281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282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283</v>
      </c>
      <c r="C25" s="17"/>
      <c r="D25" s="17"/>
      <c r="E25" s="17"/>
      <c r="F25" s="17"/>
      <c r="G25" s="17"/>
      <c r="H25" s="324" t="str">
        <f>Licitante!$B$2</f>
        <v>Santos / SP</v>
      </c>
    </row>
    <row r="26" spans="1:8" ht="20.3" customHeight="1">
      <c r="A26" s="224" t="s">
        <v>66</v>
      </c>
      <c r="B26" s="238" t="s">
        <v>285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286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287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288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289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290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291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292</v>
      </c>
      <c r="B36" s="17" t="s">
        <v>293</v>
      </c>
      <c r="C36" s="17"/>
      <c r="D36" s="17"/>
      <c r="E36" s="17"/>
      <c r="F36" s="17"/>
      <c r="G36" s="245" t="s">
        <v>65</v>
      </c>
      <c r="H36" s="324" t="str">
        <f>Licitante!$B$2</f>
        <v>Santos / SP</v>
      </c>
    </row>
    <row r="37" spans="1:8" ht="20.3" customHeight="1">
      <c r="A37" s="224" t="s">
        <v>66</v>
      </c>
      <c r="B37" s="238" t="s">
        <v>294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295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296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297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298</v>
      </c>
      <c r="B42" s="17" t="s">
        <v>299</v>
      </c>
      <c r="C42" s="17"/>
      <c r="D42" s="17"/>
      <c r="E42" s="17"/>
      <c r="F42" s="17"/>
      <c r="G42" s="245" t="s">
        <v>65</v>
      </c>
      <c r="H42" s="324" t="str">
        <f>Licitante!$B$2</f>
        <v>Santos / SP</v>
      </c>
    </row>
    <row r="43" spans="1:8" ht="20.3" customHeight="1">
      <c r="A43" s="224" t="s">
        <v>66</v>
      </c>
      <c r="B43" s="225" t="s">
        <v>300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301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302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303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304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305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306</v>
      </c>
      <c r="B50" s="238" t="s">
        <v>307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308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309</v>
      </c>
      <c r="B53" s="17" t="s">
        <v>310</v>
      </c>
      <c r="C53" s="17"/>
      <c r="D53" s="17"/>
      <c r="E53" s="17"/>
      <c r="F53" s="17"/>
      <c r="G53" s="17"/>
      <c r="H53" s="324" t="str">
        <f>Licitante!$B$2</f>
        <v>Santos / SP</v>
      </c>
    </row>
    <row r="54" spans="1:8" ht="20.3" customHeight="1">
      <c r="A54" s="224" t="s">
        <v>66</v>
      </c>
      <c r="B54" s="238" t="s">
        <v>311</v>
      </c>
      <c r="C54" s="238"/>
      <c r="D54" s="238"/>
      <c r="E54" s="238"/>
      <c r="F54" s="238"/>
      <c r="G54" s="238"/>
      <c r="H54" s="257">
        <f>Licitante!I42</f>
        <v>119.52779999999997</v>
      </c>
    </row>
    <row r="55" spans="1:8" ht="20.3" customHeight="1">
      <c r="A55" s="224" t="s">
        <v>68</v>
      </c>
      <c r="B55" s="238" t="s">
        <v>312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313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314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315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316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317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306</v>
      </c>
      <c r="B61" s="238" t="s">
        <v>320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319</v>
      </c>
      <c r="B62" s="264" t="s">
        <v>318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1038.9078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322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323</v>
      </c>
      <c r="C66" s="17"/>
      <c r="D66" s="17"/>
      <c r="E66" s="17"/>
      <c r="F66" s="17"/>
      <c r="G66" s="17"/>
      <c r="H66" s="324" t="str">
        <f>Licitante!$B$2</f>
        <v>Santos / SP</v>
      </c>
    </row>
    <row r="67" spans="1:8" ht="20.3" customHeight="1">
      <c r="A67" s="224" t="s">
        <v>292</v>
      </c>
      <c r="B67" s="238" t="s">
        <v>381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298</v>
      </c>
      <c r="B68" s="238" t="s">
        <v>299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309</v>
      </c>
      <c r="B69" s="238" t="s">
        <v>310</v>
      </c>
      <c r="C69" s="238"/>
      <c r="D69" s="238"/>
      <c r="E69" s="238"/>
      <c r="F69" s="238"/>
      <c r="G69" s="238"/>
      <c r="H69" s="260">
        <f>H63</f>
        <v>1038.9078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2024.2272290909091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325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326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327</v>
      </c>
      <c r="C74" s="17"/>
      <c r="D74" s="17"/>
      <c r="E74" s="17"/>
      <c r="F74" s="17"/>
      <c r="G74" s="17"/>
      <c r="H74" s="324" t="str">
        <f>Licitante!$B$2</f>
        <v>Santos / SP</v>
      </c>
    </row>
    <row r="75" spans="1:8" ht="20.3" customHeight="1">
      <c r="A75" s="224" t="s">
        <v>66</v>
      </c>
      <c r="B75" s="238" t="s">
        <v>328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329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330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331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332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333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334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335</v>
      </c>
      <c r="B84" s="17"/>
      <c r="C84" s="17"/>
      <c r="D84" s="17"/>
      <c r="E84" s="17"/>
      <c r="F84" s="17"/>
      <c r="G84" s="17"/>
      <c r="H84" s="260">
        <f>H32+H70-(H54+H55+H61)+H80</f>
        <v>3178.6805529795593</v>
      </c>
    </row>
    <row r="85" spans="1:8" ht="24.65" customHeight="1">
      <c r="A85" s="245" t="s">
        <v>336</v>
      </c>
      <c r="B85" s="282" t="s">
        <v>337</v>
      </c>
      <c r="C85" s="282"/>
      <c r="D85" s="282"/>
      <c r="E85" s="282"/>
      <c r="F85" s="282"/>
      <c r="G85" s="245" t="s">
        <v>65</v>
      </c>
      <c r="H85" s="324" t="str">
        <f>Licitante!$B$2</f>
        <v>Santos / SP</v>
      </c>
    </row>
    <row r="86" spans="1:8" ht="25.35" customHeight="1">
      <c r="A86" s="224" t="s">
        <v>66</v>
      </c>
      <c r="B86" s="328" t="s">
        <v>338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339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8.7027530540165898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0.65270647905124413</v>
      </c>
    </row>
    <row r="89" spans="1:8" ht="20.3" customHeight="1">
      <c r="A89" s="329" t="s">
        <v>74</v>
      </c>
      <c r="B89" s="285" t="s">
        <v>340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1.0182221073199409</v>
      </c>
    </row>
    <row r="90" spans="1:8" ht="20.3" customHeight="1">
      <c r="A90" s="224" t="s">
        <v>77</v>
      </c>
      <c r="B90" s="264" t="s">
        <v>341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20.886607329639816</v>
      </c>
    </row>
    <row r="91" spans="1:8" ht="24.65" customHeight="1">
      <c r="A91" s="224" t="s">
        <v>90</v>
      </c>
      <c r="B91" s="264" t="s">
        <v>342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26.108259162049769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298.61919871058973</v>
      </c>
    </row>
    <row r="94" spans="1:8" ht="20.3" customHeight="1">
      <c r="A94" s="254" t="s">
        <v>343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344</v>
      </c>
      <c r="B95" s="17" t="s">
        <v>345</v>
      </c>
      <c r="C95" s="17"/>
      <c r="D95" s="17"/>
      <c r="E95" s="17"/>
      <c r="F95" s="17"/>
      <c r="G95" s="17"/>
      <c r="H95" s="324" t="str">
        <f>Licitante!$B$2</f>
        <v>Santos / SP</v>
      </c>
    </row>
    <row r="96" spans="1:8" ht="20.3" customHeight="1">
      <c r="A96" s="224" t="s">
        <v>66</v>
      </c>
      <c r="B96" s="238" t="s">
        <v>346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347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348</v>
      </c>
      <c r="C100" s="17"/>
      <c r="D100" s="17"/>
      <c r="E100" s="17"/>
      <c r="F100" s="17"/>
      <c r="G100" s="17"/>
      <c r="H100" s="324" t="str">
        <f>Licitante!$B$2</f>
        <v>Santos / SP</v>
      </c>
    </row>
    <row r="101" spans="1:8" ht="20.3" customHeight="1">
      <c r="A101" s="224" t="s">
        <v>336</v>
      </c>
      <c r="B101" s="238" t="s">
        <v>337</v>
      </c>
      <c r="C101" s="238"/>
      <c r="D101" s="238"/>
      <c r="E101" s="238"/>
      <c r="F101" s="238"/>
      <c r="G101" s="238"/>
      <c r="H101" s="257">
        <f>H93</f>
        <v>298.61919871058973</v>
      </c>
    </row>
    <row r="102" spans="1:8" ht="20.3" customHeight="1">
      <c r="A102" s="224" t="s">
        <v>344</v>
      </c>
      <c r="B102" s="238" t="s">
        <v>345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298.61919871058973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349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350</v>
      </c>
      <c r="C106" s="17"/>
      <c r="D106" s="17"/>
      <c r="E106" s="17"/>
      <c r="F106" s="17"/>
      <c r="G106" s="17"/>
      <c r="H106" s="324" t="str">
        <f>Licitante!$B$2</f>
        <v>Santos / SP</v>
      </c>
    </row>
    <row r="107" spans="1:8" ht="20.45" customHeight="1">
      <c r="A107" s="224" t="s">
        <v>66</v>
      </c>
      <c r="B107" s="238" t="s">
        <v>351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352</v>
      </c>
      <c r="C108" s="238"/>
      <c r="D108" s="238"/>
      <c r="E108" s="238"/>
      <c r="F108" s="238"/>
      <c r="G108" s="238"/>
      <c r="H108" s="257">
        <f>H114*Licitante!H127</f>
        <v>598.34722295774748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668.56930629108081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353</v>
      </c>
      <c r="B113" s="17"/>
      <c r="C113" s="17"/>
      <c r="D113" s="17"/>
      <c r="E113" s="17"/>
      <c r="F113" s="17"/>
      <c r="G113" s="17"/>
      <c r="H113" s="324" t="str">
        <f>Licitante!$B$2</f>
        <v>Santos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4986.2268579812289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354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355</v>
      </c>
      <c r="C117" s="17"/>
      <c r="D117" s="17"/>
      <c r="E117" s="17"/>
      <c r="F117" s="17"/>
      <c r="G117" s="245" t="s">
        <v>65</v>
      </c>
      <c r="H117" s="324" t="str">
        <f>Licitante!$B$2</f>
        <v>Santos / SP</v>
      </c>
    </row>
    <row r="118" spans="1:8" ht="20.3" customHeight="1">
      <c r="A118" s="224" t="s">
        <v>66</v>
      </c>
      <c r="B118" s="238" t="s">
        <v>356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249.31134289906146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523.55382008802906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879.63076977325943</v>
      </c>
    </row>
    <row r="121" spans="1:8" ht="20.3" customHeight="1">
      <c r="A121" s="230"/>
      <c r="B121" s="238" t="s">
        <v>357</v>
      </c>
      <c r="C121" s="238"/>
      <c r="D121" s="238"/>
      <c r="E121" s="230" t="s">
        <v>358</v>
      </c>
      <c r="F121" s="230"/>
      <c r="G121" s="230"/>
      <c r="H121" s="292"/>
    </row>
    <row r="122" spans="1:8" ht="19.45" customHeight="1">
      <c r="A122" s="230"/>
      <c r="B122" s="238" t="s">
        <v>359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360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361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362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363</v>
      </c>
      <c r="C126" s="238"/>
      <c r="D126" s="238"/>
      <c r="E126" s="249"/>
      <c r="F126" s="230" t="s">
        <v>364</v>
      </c>
      <c r="G126" s="230"/>
      <c r="H126" s="292"/>
    </row>
    <row r="127" spans="1:8" ht="15" customHeight="1">
      <c r="A127" s="230"/>
      <c r="B127" s="238" t="s">
        <v>365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382</v>
      </c>
      <c r="C128" s="294" t="str">
        <f>H7</f>
        <v>Santos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6638.72279074158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366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367</v>
      </c>
      <c r="C132" s="17"/>
      <c r="D132" s="17"/>
      <c r="E132" s="17"/>
      <c r="F132" s="17"/>
      <c r="G132" s="17"/>
      <c r="H132" s="324" t="str">
        <f>Licitante!$B$2</f>
        <v>Santos / SP</v>
      </c>
    </row>
    <row r="133" spans="1:8" ht="29.95" customHeight="1">
      <c r="A133" s="245" t="s">
        <v>66</v>
      </c>
      <c r="B133" s="238" t="s">
        <v>368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290</v>
      </c>
      <c r="C134" s="238"/>
      <c r="D134" s="238"/>
      <c r="E134" s="238"/>
      <c r="F134" s="238"/>
      <c r="G134" s="238"/>
      <c r="H134" s="257">
        <f>H70</f>
        <v>2024.2272290909091</v>
      </c>
    </row>
    <row r="135" spans="1:8" ht="21.6" customHeight="1">
      <c r="A135" s="245" t="s">
        <v>71</v>
      </c>
      <c r="B135" s="238" t="s">
        <v>369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333</v>
      </c>
      <c r="C136" s="238"/>
      <c r="D136" s="238"/>
      <c r="E136" s="238"/>
      <c r="F136" s="238"/>
      <c r="G136" s="238"/>
      <c r="H136" s="257">
        <f>H103</f>
        <v>298.61919871058973</v>
      </c>
    </row>
    <row r="137" spans="1:8" ht="26.65" customHeight="1">
      <c r="A137" s="245" t="s">
        <v>77</v>
      </c>
      <c r="B137" s="238" t="s">
        <v>349</v>
      </c>
      <c r="C137" s="238"/>
      <c r="D137" s="238"/>
      <c r="E137" s="238"/>
      <c r="F137" s="238"/>
      <c r="G137" s="238"/>
      <c r="H137" s="257">
        <f>H111</f>
        <v>668.56930629108081</v>
      </c>
    </row>
    <row r="138" spans="1:8" ht="31" customHeight="1">
      <c r="A138" s="17" t="s">
        <v>370</v>
      </c>
      <c r="B138" s="17"/>
      <c r="C138" s="17"/>
      <c r="D138" s="17"/>
      <c r="E138" s="17"/>
      <c r="F138" s="17"/>
      <c r="G138" s="17"/>
      <c r="H138" s="248">
        <f>SUM(H133:H137)</f>
        <v>4986.2268579812289</v>
      </c>
    </row>
    <row r="139" spans="1:8" ht="32.4" customHeight="1">
      <c r="A139" s="245" t="s">
        <v>90</v>
      </c>
      <c r="B139" s="238" t="s">
        <v>371</v>
      </c>
      <c r="C139" s="238"/>
      <c r="D139" s="238"/>
      <c r="E139" s="238"/>
      <c r="F139" s="238"/>
      <c r="G139" s="238"/>
      <c r="H139" s="257">
        <f>H129</f>
        <v>6638.72279074158</v>
      </c>
    </row>
    <row r="140" spans="1:8" ht="36.75" customHeight="1">
      <c r="A140" s="17" t="s">
        <v>372</v>
      </c>
      <c r="B140" s="17"/>
      <c r="C140" s="17"/>
      <c r="D140" s="17"/>
      <c r="E140" s="17"/>
      <c r="F140" s="17"/>
      <c r="G140" s="17"/>
      <c r="H140" s="330">
        <f>ROUND((H114+H118+H119)/(1-(F128)),2)</f>
        <v>6638.72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72F0F-4009-4F97-B2AB-A6DBAAE02112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256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257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258</v>
      </c>
      <c r="B4" s="221">
        <f>Licitante!I1</f>
        <v>0</v>
      </c>
      <c r="C4" s="221"/>
      <c r="D4" s="221"/>
      <c r="E4" s="221"/>
      <c r="F4" s="222" t="s">
        <v>259</v>
      </c>
      <c r="G4" s="37" t="s">
        <v>376</v>
      </c>
      <c r="H4" s="37"/>
    </row>
    <row r="5" spans="1:8" ht="20.3" customHeight="1">
      <c r="A5" s="17" t="s">
        <v>260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261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262</v>
      </c>
      <c r="C7" s="225"/>
      <c r="D7" s="225"/>
      <c r="E7" s="225"/>
      <c r="F7" s="225"/>
      <c r="G7" s="225"/>
      <c r="H7" s="229" t="str">
        <f>Licitante!$B$2</f>
        <v>Santos / SP</v>
      </c>
    </row>
    <row r="8" spans="1:8" ht="20.3" customHeight="1">
      <c r="A8" s="224" t="s">
        <v>71</v>
      </c>
      <c r="B8" s="225" t="s">
        <v>263</v>
      </c>
      <c r="C8" s="225"/>
      <c r="D8" s="225"/>
      <c r="E8" s="225"/>
      <c r="F8" s="225"/>
      <c r="G8" s="225"/>
      <c r="H8" s="226" t="s">
        <v>384</v>
      </c>
    </row>
    <row r="9" spans="1:8" ht="20.3" customHeight="1">
      <c r="A9" s="224" t="s">
        <v>74</v>
      </c>
      <c r="B9" s="225" t="s">
        <v>265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266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267</v>
      </c>
      <c r="B11" s="230"/>
      <c r="C11" s="230"/>
      <c r="D11" s="230" t="s">
        <v>268</v>
      </c>
      <c r="E11" s="230"/>
      <c r="F11" s="231" t="s">
        <v>269</v>
      </c>
      <c r="G11" s="231"/>
      <c r="H11" s="231"/>
    </row>
    <row r="12" spans="1:8" ht="33.549999999999997" customHeight="1">
      <c r="A12" s="230" t="s">
        <v>385</v>
      </c>
      <c r="B12" s="230"/>
      <c r="C12" s="230"/>
      <c r="D12" s="231" t="s">
        <v>386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272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273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274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275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276</v>
      </c>
      <c r="C18" s="225"/>
      <c r="D18" s="225"/>
      <c r="E18" s="225"/>
      <c r="F18" s="225"/>
      <c r="G18" s="225"/>
      <c r="H18" s="229" t="s">
        <v>387</v>
      </c>
    </row>
    <row r="19" spans="1:8" ht="20.3" customHeight="1">
      <c r="A19" s="224">
        <v>2</v>
      </c>
      <c r="B19" s="238" t="s">
        <v>277</v>
      </c>
      <c r="C19" s="238"/>
      <c r="D19" s="238"/>
      <c r="E19" s="238"/>
      <c r="F19" s="238"/>
      <c r="G19" s="238"/>
      <c r="H19" s="229" t="s">
        <v>380</v>
      </c>
    </row>
    <row r="20" spans="1:8" ht="20.3" customHeight="1">
      <c r="A20" s="224">
        <v>3</v>
      </c>
      <c r="B20" s="225" t="s">
        <v>279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280</v>
      </c>
      <c r="C21" s="225"/>
      <c r="D21" s="225"/>
      <c r="E21" s="225"/>
      <c r="F21" s="225"/>
      <c r="G21" s="225"/>
      <c r="H21" s="229" t="s">
        <v>378</v>
      </c>
    </row>
    <row r="22" spans="1:8" ht="20.3" customHeight="1">
      <c r="A22" s="224">
        <v>5</v>
      </c>
      <c r="B22" s="225" t="s">
        <v>281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282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283</v>
      </c>
      <c r="C25" s="17"/>
      <c r="D25" s="17"/>
      <c r="E25" s="17"/>
      <c r="F25" s="17"/>
      <c r="G25" s="17"/>
      <c r="H25" s="324" t="str">
        <f>Licitante!$B$2</f>
        <v>Santos / SP</v>
      </c>
    </row>
    <row r="26" spans="1:8" ht="20.3" customHeight="1">
      <c r="A26" s="224" t="s">
        <v>66</v>
      </c>
      <c r="B26" s="238" t="s">
        <v>285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286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287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288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289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290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291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292</v>
      </c>
      <c r="B36" s="17" t="s">
        <v>293</v>
      </c>
      <c r="C36" s="17"/>
      <c r="D36" s="17"/>
      <c r="E36" s="17"/>
      <c r="F36" s="17"/>
      <c r="G36" s="245" t="s">
        <v>65</v>
      </c>
      <c r="H36" s="324" t="str">
        <f>Licitante!$B$2</f>
        <v>Santos / SP</v>
      </c>
    </row>
    <row r="37" spans="1:8" ht="20.3" customHeight="1">
      <c r="A37" s="224" t="s">
        <v>66</v>
      </c>
      <c r="B37" s="238" t="s">
        <v>294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295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296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388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298</v>
      </c>
      <c r="B42" s="17" t="s">
        <v>299</v>
      </c>
      <c r="C42" s="17"/>
      <c r="D42" s="17"/>
      <c r="E42" s="17"/>
      <c r="F42" s="17"/>
      <c r="G42" s="245" t="s">
        <v>65</v>
      </c>
      <c r="H42" s="324" t="str">
        <f>Licitante!$B$2</f>
        <v>Santos / SP</v>
      </c>
    </row>
    <row r="43" spans="1:8" ht="20.3" customHeight="1">
      <c r="A43" s="224" t="s">
        <v>66</v>
      </c>
      <c r="B43" s="225" t="s">
        <v>300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301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302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303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304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305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306</v>
      </c>
      <c r="B50" s="238" t="s">
        <v>307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308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309</v>
      </c>
      <c r="B53" s="17" t="s">
        <v>310</v>
      </c>
      <c r="C53" s="17"/>
      <c r="D53" s="17"/>
      <c r="E53" s="17"/>
      <c r="F53" s="17"/>
      <c r="G53" s="17"/>
      <c r="H53" s="324" t="str">
        <f>Licitante!$B$2</f>
        <v>Santos / SP</v>
      </c>
    </row>
    <row r="54" spans="1:8" ht="20.3" customHeight="1">
      <c r="A54" s="224" t="s">
        <v>66</v>
      </c>
      <c r="B54" s="238" t="s">
        <v>311</v>
      </c>
      <c r="C54" s="238"/>
      <c r="D54" s="238"/>
      <c r="E54" s="238"/>
      <c r="F54" s="238"/>
      <c r="G54" s="238"/>
      <c r="H54" s="257">
        <f>Licitante!I42</f>
        <v>119.52779999999997</v>
      </c>
    </row>
    <row r="55" spans="1:8" ht="20.3" customHeight="1">
      <c r="A55" s="224" t="s">
        <v>68</v>
      </c>
      <c r="B55" s="238" t="s">
        <v>312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313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314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315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316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317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306</v>
      </c>
      <c r="B61" s="238" t="s">
        <v>320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319</v>
      </c>
      <c r="B62" s="264" t="s">
        <v>318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1038.9078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322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323</v>
      </c>
      <c r="C66" s="17"/>
      <c r="D66" s="17"/>
      <c r="E66" s="17"/>
      <c r="F66" s="17"/>
      <c r="G66" s="17"/>
      <c r="H66" s="324" t="str">
        <f>Licitante!$B$2</f>
        <v>Santos / SP</v>
      </c>
    </row>
    <row r="67" spans="1:8" ht="20.3" customHeight="1">
      <c r="A67" s="224" t="s">
        <v>292</v>
      </c>
      <c r="B67" s="238" t="s">
        <v>381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298</v>
      </c>
      <c r="B68" s="238" t="s">
        <v>299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309</v>
      </c>
      <c r="B69" s="238" t="s">
        <v>310</v>
      </c>
      <c r="C69" s="238"/>
      <c r="D69" s="238"/>
      <c r="E69" s="238"/>
      <c r="F69" s="238"/>
      <c r="G69" s="238"/>
      <c r="H69" s="260">
        <f>H63</f>
        <v>1038.9078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2319.823057818182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325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326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327</v>
      </c>
      <c r="C74" s="17"/>
      <c r="D74" s="17"/>
      <c r="E74" s="17"/>
      <c r="F74" s="17"/>
      <c r="G74" s="17"/>
      <c r="H74" s="324" t="str">
        <f>Licitante!$B$2</f>
        <v>Santos / SP</v>
      </c>
    </row>
    <row r="75" spans="1:8" ht="20.3" customHeight="1">
      <c r="A75" s="224" t="s">
        <v>66</v>
      </c>
      <c r="B75" s="238" t="s">
        <v>328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329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330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331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332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333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334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335</v>
      </c>
      <c r="B84" s="17"/>
      <c r="C84" s="17"/>
      <c r="D84" s="17"/>
      <c r="E84" s="17"/>
      <c r="F84" s="17"/>
      <c r="G84" s="17"/>
      <c r="H84" s="260">
        <f>H32+H70-(H54+H55+H61)+H80</f>
        <v>4072.7197188734281</v>
      </c>
    </row>
    <row r="85" spans="1:8" ht="24.65" customHeight="1">
      <c r="A85" s="245" t="s">
        <v>336</v>
      </c>
      <c r="B85" s="282" t="s">
        <v>337</v>
      </c>
      <c r="C85" s="282"/>
      <c r="D85" s="282"/>
      <c r="E85" s="282"/>
      <c r="F85" s="282"/>
      <c r="G85" s="245" t="s">
        <v>65</v>
      </c>
      <c r="H85" s="324" t="str">
        <f>Licitante!$B$2</f>
        <v>Santos / SP</v>
      </c>
    </row>
    <row r="86" spans="1:8" ht="25.35" customHeight="1">
      <c r="A86" s="224" t="s">
        <v>66</v>
      </c>
      <c r="B86" s="264" t="s">
        <v>389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339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11.150498888086045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0.83628741660645323</v>
      </c>
    </row>
    <row r="89" spans="1:8" ht="20.3" customHeight="1">
      <c r="A89" s="329" t="s">
        <v>74</v>
      </c>
      <c r="B89" s="285" t="s">
        <v>340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1.3046083699060673</v>
      </c>
    </row>
    <row r="90" spans="1:8" ht="20.3" customHeight="1">
      <c r="A90" s="224" t="s">
        <v>77</v>
      </c>
      <c r="B90" s="264" t="s">
        <v>341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342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33.451496664258137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376.44786316895159</v>
      </c>
    </row>
    <row r="94" spans="1:8" ht="20.3" customHeight="1">
      <c r="A94" s="271" t="s">
        <v>343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344</v>
      </c>
      <c r="B95" s="17" t="s">
        <v>345</v>
      </c>
      <c r="C95" s="17"/>
      <c r="D95" s="17"/>
      <c r="E95" s="17"/>
      <c r="F95" s="17"/>
      <c r="G95" s="17"/>
      <c r="H95" s="324" t="str">
        <f>Licitante!$B$2</f>
        <v>Santos / SP</v>
      </c>
    </row>
    <row r="96" spans="1:8" ht="20.3" customHeight="1">
      <c r="A96" s="224" t="s">
        <v>66</v>
      </c>
      <c r="B96" s="238" t="s">
        <v>346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347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348</v>
      </c>
      <c r="C100" s="17"/>
      <c r="D100" s="17"/>
      <c r="E100" s="17"/>
      <c r="F100" s="17"/>
      <c r="G100" s="17"/>
      <c r="H100" s="324" t="str">
        <f>Licitante!$B$2</f>
        <v>Santos / SP</v>
      </c>
    </row>
    <row r="101" spans="1:8" ht="20.3" customHeight="1">
      <c r="A101" s="224" t="s">
        <v>336</v>
      </c>
      <c r="B101" s="238" t="s">
        <v>337</v>
      </c>
      <c r="C101" s="238"/>
      <c r="D101" s="238"/>
      <c r="E101" s="238"/>
      <c r="F101" s="238"/>
      <c r="G101" s="238"/>
      <c r="H101" s="257">
        <f>H93</f>
        <v>376.44786316895159</v>
      </c>
    </row>
    <row r="102" spans="1:8" ht="20.3" customHeight="1">
      <c r="A102" s="224" t="s">
        <v>344</v>
      </c>
      <c r="B102" s="238" t="s">
        <v>345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376.44786316895159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349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350</v>
      </c>
      <c r="C106" s="17"/>
      <c r="D106" s="17"/>
      <c r="E106" s="17"/>
      <c r="F106" s="17"/>
      <c r="G106" s="17"/>
      <c r="H106" s="324" t="str">
        <f>Licitante!$B$2</f>
        <v>Santos / SP</v>
      </c>
    </row>
    <row r="107" spans="1:8" ht="20.45" customHeight="1">
      <c r="A107" s="224" t="s">
        <v>66</v>
      </c>
      <c r="B107" s="238" t="s">
        <v>351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352</v>
      </c>
      <c r="C108" s="238"/>
      <c r="D108" s="238"/>
      <c r="E108" s="238"/>
      <c r="F108" s="238"/>
      <c r="G108" s="238"/>
      <c r="H108" s="291">
        <f>H114*Licitante!H127</f>
        <v>730.87465436941534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801.09673770274867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353</v>
      </c>
      <c r="B113" s="17"/>
      <c r="C113" s="17"/>
      <c r="D113" s="17"/>
      <c r="E113" s="17"/>
      <c r="F113" s="17"/>
      <c r="G113" s="17"/>
      <c r="H113" s="324" t="str">
        <f>Licitante!$B$2</f>
        <v>Santos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6090.6221197451277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354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355</v>
      </c>
      <c r="C117" s="17"/>
      <c r="D117" s="17"/>
      <c r="E117" s="17"/>
      <c r="F117" s="17"/>
      <c r="G117" s="245" t="s">
        <v>65</v>
      </c>
      <c r="H117" s="324" t="str">
        <f>Licitante!$B$2</f>
        <v>Santos / SP</v>
      </c>
    </row>
    <row r="118" spans="1:8" ht="20.3" customHeight="1">
      <c r="A118" s="224" t="s">
        <v>66</v>
      </c>
      <c r="B118" s="238" t="s">
        <v>356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304.53110598725641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639.51532257323845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1074.4594612685821</v>
      </c>
    </row>
    <row r="121" spans="1:8" ht="20.3" customHeight="1">
      <c r="A121" s="230"/>
      <c r="B121" s="238" t="s">
        <v>357</v>
      </c>
      <c r="C121" s="238"/>
      <c r="D121" s="238"/>
      <c r="E121" s="230" t="s">
        <v>358</v>
      </c>
      <c r="F121" s="230"/>
      <c r="G121" s="230"/>
      <c r="H121" s="292"/>
    </row>
    <row r="122" spans="1:8" ht="19.45" customHeight="1">
      <c r="A122" s="230"/>
      <c r="B122" s="238" t="s">
        <v>359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360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361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362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363</v>
      </c>
      <c r="C126" s="238"/>
      <c r="D126" s="238"/>
      <c r="E126" s="249"/>
      <c r="F126" s="230" t="s">
        <v>364</v>
      </c>
      <c r="G126" s="230"/>
      <c r="H126" s="292"/>
    </row>
    <row r="127" spans="1:8" ht="15" customHeight="1">
      <c r="A127" s="230"/>
      <c r="B127" s="238" t="s">
        <v>365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382</v>
      </c>
      <c r="C128" s="294" t="str">
        <f>H7</f>
        <v>Santos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8109.128009574205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366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367</v>
      </c>
      <c r="C132" s="17"/>
      <c r="D132" s="17"/>
      <c r="E132" s="17"/>
      <c r="F132" s="17"/>
      <c r="G132" s="17"/>
      <c r="H132" s="324" t="str">
        <f>Licitante!$B$2</f>
        <v>Santos / SP</v>
      </c>
    </row>
    <row r="133" spans="1:8" ht="31.7" customHeight="1">
      <c r="A133" s="245" t="s">
        <v>66</v>
      </c>
      <c r="B133" s="238" t="s">
        <v>368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290</v>
      </c>
      <c r="C134" s="238"/>
      <c r="D134" s="238"/>
      <c r="E134" s="238"/>
      <c r="F134" s="238"/>
      <c r="G134" s="238"/>
      <c r="H134" s="257">
        <f>H70</f>
        <v>2319.823057818182</v>
      </c>
    </row>
    <row r="135" spans="1:8" ht="34.85" customHeight="1">
      <c r="A135" s="245" t="s">
        <v>71</v>
      </c>
      <c r="B135" s="238" t="s">
        <v>369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333</v>
      </c>
      <c r="C136" s="238"/>
      <c r="D136" s="238"/>
      <c r="E136" s="238"/>
      <c r="F136" s="238"/>
      <c r="G136" s="238"/>
      <c r="H136" s="257">
        <f>H103</f>
        <v>376.44786316895159</v>
      </c>
    </row>
    <row r="137" spans="1:8" ht="29.95" customHeight="1">
      <c r="A137" s="245" t="s">
        <v>77</v>
      </c>
      <c r="B137" s="238" t="s">
        <v>349</v>
      </c>
      <c r="C137" s="238"/>
      <c r="D137" s="238"/>
      <c r="E137" s="238"/>
      <c r="F137" s="238"/>
      <c r="G137" s="238"/>
      <c r="H137" s="257">
        <f>H111</f>
        <v>801.09673770274867</v>
      </c>
    </row>
    <row r="138" spans="1:8" ht="28.4" customHeight="1">
      <c r="A138" s="17" t="s">
        <v>370</v>
      </c>
      <c r="B138" s="17"/>
      <c r="C138" s="17"/>
      <c r="D138" s="17"/>
      <c r="E138" s="17"/>
      <c r="F138" s="17"/>
      <c r="G138" s="17"/>
      <c r="H138" s="248">
        <f>SUM(H133:H137)</f>
        <v>6090.6221197451287</v>
      </c>
    </row>
    <row r="139" spans="1:8" ht="31" customHeight="1">
      <c r="A139" s="245" t="s">
        <v>90</v>
      </c>
      <c r="B139" s="238" t="s">
        <v>371</v>
      </c>
      <c r="C139" s="238"/>
      <c r="D139" s="238"/>
      <c r="E139" s="238"/>
      <c r="F139" s="238"/>
      <c r="G139" s="238"/>
      <c r="H139" s="257">
        <f>H129</f>
        <v>8109.128009574205</v>
      </c>
    </row>
    <row r="140" spans="1:8" ht="27.4" customHeight="1">
      <c r="A140" s="17" t="s">
        <v>372</v>
      </c>
      <c r="B140" s="17"/>
      <c r="C140" s="17"/>
      <c r="D140" s="17"/>
      <c r="E140" s="17"/>
      <c r="F140" s="17"/>
      <c r="G140" s="17"/>
      <c r="H140" s="330">
        <f>ROUND((H114+H118+H119)/(1-(F128)),2)</f>
        <v>8109.13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04C4F-2D34-4F79-B6F9-5811977F4B23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390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391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392</v>
      </c>
      <c r="B5" s="340"/>
      <c r="C5" s="340"/>
      <c r="D5" s="340"/>
      <c r="E5" s="341" t="str">
        <f>Licitante!B3</f>
        <v>DRF/Santos</v>
      </c>
      <c r="F5" s="341"/>
      <c r="G5" s="342"/>
      <c r="H5" s="159" t="s">
        <v>393</v>
      </c>
      <c r="I5" s="167" t="s">
        <v>201</v>
      </c>
      <c r="J5" s="343" t="s">
        <v>394</v>
      </c>
    </row>
    <row r="6" spans="1:10" ht="34.15" customHeight="1">
      <c r="A6" s="337" t="s">
        <v>395</v>
      </c>
      <c r="B6" s="337"/>
      <c r="C6" s="344" t="s">
        <v>396</v>
      </c>
      <c r="D6" s="345" t="s">
        <v>273</v>
      </c>
      <c r="E6" s="345"/>
      <c r="F6" s="344" t="s">
        <v>397</v>
      </c>
      <c r="G6" s="344" t="s">
        <v>398</v>
      </c>
      <c r="H6" s="159"/>
      <c r="I6" s="167"/>
      <c r="J6" s="343"/>
    </row>
    <row r="7" spans="1:10" ht="34.85" customHeight="1">
      <c r="A7" s="346" t="s">
        <v>227</v>
      </c>
      <c r="B7" s="346"/>
      <c r="C7" s="347">
        <v>1200</v>
      </c>
      <c r="D7" s="346" t="s">
        <v>270</v>
      </c>
      <c r="E7" s="346"/>
      <c r="F7" s="348">
        <f>'Servente 40h'!H142</f>
        <v>6218.99</v>
      </c>
      <c r="G7" s="349">
        <f>ROUND((1/C7)*F7,7)</f>
        <v>5.1824916999999999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228</v>
      </c>
      <c r="B8" s="346"/>
      <c r="C8" s="347">
        <v>1200</v>
      </c>
      <c r="D8" s="346" t="s">
        <v>270</v>
      </c>
      <c r="E8" s="346"/>
      <c r="F8" s="348">
        <f>'Servente 40h'!H142</f>
        <v>6218.99</v>
      </c>
      <c r="G8" s="349">
        <f>ROUND((1/C8)*F8,7)</f>
        <v>5.1824916999999999</v>
      </c>
      <c r="H8" s="350">
        <f>IF('CALCULO SIMPLES'!B37 = "m2",'Áreas a serem limpas'!B5,0)</f>
        <v>6382.6</v>
      </c>
      <c r="I8" s="351">
        <f t="shared" ref="I8:I14" si="0">G8*H8</f>
        <v>33077.771524420001</v>
      </c>
      <c r="J8" s="343"/>
    </row>
    <row r="9" spans="1:10" ht="34.85" customHeight="1">
      <c r="A9" s="346" t="s">
        <v>399</v>
      </c>
      <c r="B9" s="346"/>
      <c r="C9" s="347">
        <v>450</v>
      </c>
      <c r="D9" s="346" t="s">
        <v>270</v>
      </c>
      <c r="E9" s="346"/>
      <c r="F9" s="348">
        <f>'Servente 40h'!H142</f>
        <v>6218.99</v>
      </c>
      <c r="G9" s="349">
        <f>ROUND((1/C9)*F9,7)</f>
        <v>13.8199778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230</v>
      </c>
      <c r="B10" s="346"/>
      <c r="C10" s="347">
        <v>2500</v>
      </c>
      <c r="D10" s="346" t="s">
        <v>270</v>
      </c>
      <c r="E10" s="346"/>
      <c r="F10" s="348">
        <f>'Servente 40h'!H142</f>
        <v>6218.99</v>
      </c>
      <c r="G10" s="349">
        <f t="shared" ref="G10:G11" si="1">ROUND((1/C10)*F10,7)</f>
        <v>2.4875959999999999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231</v>
      </c>
      <c r="B11" s="346"/>
      <c r="C11" s="347">
        <v>1800</v>
      </c>
      <c r="D11" s="346" t="s">
        <v>270</v>
      </c>
      <c r="E11" s="346"/>
      <c r="F11" s="348">
        <f>'Servente 40h'!H142</f>
        <v>6218.99</v>
      </c>
      <c r="G11" s="349">
        <f t="shared" si="1"/>
        <v>3.4549943999999999</v>
      </c>
      <c r="H11" s="350">
        <f>IF('CALCULO SIMPLES'!B37 = "m2",'Áreas a serem limpas'!B8,0)</f>
        <v>1095</v>
      </c>
      <c r="I11" s="351">
        <f t="shared" si="0"/>
        <v>3783.2188679999999</v>
      </c>
      <c r="J11" s="343"/>
    </row>
    <row r="12" spans="1:10" ht="37.299999999999997" customHeight="1">
      <c r="A12" s="346" t="s">
        <v>232</v>
      </c>
      <c r="B12" s="346"/>
      <c r="C12" s="347">
        <v>1500</v>
      </c>
      <c r="D12" s="346" t="s">
        <v>270</v>
      </c>
      <c r="E12" s="346"/>
      <c r="F12" s="348">
        <f>'Servente 40h'!H142</f>
        <v>6218.99</v>
      </c>
      <c r="G12" s="349">
        <f>ROUND((1/C12)*F12,7)</f>
        <v>4.1459932999999998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400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386.71000000000004</v>
      </c>
      <c r="J13" s="343"/>
    </row>
    <row r="14" spans="1:10" ht="29.1" customHeight="1">
      <c r="A14" s="346" t="s">
        <v>401</v>
      </c>
      <c r="B14" s="346"/>
      <c r="C14" s="347">
        <f>'Áreas a serem limpas'!C10</f>
        <v>300</v>
      </c>
      <c r="D14" s="346" t="s">
        <v>270</v>
      </c>
      <c r="E14" s="346"/>
      <c r="F14" s="348">
        <f>'Servente 40h'!H142</f>
        <v>6218.99</v>
      </c>
      <c r="G14" s="349">
        <f>ROUND((1/C14)*F14,7)</f>
        <v>20.729966699999999</v>
      </c>
      <c r="H14" s="350">
        <f>IF('CALCULO SIMPLES'!B37 = "m2",'Áreas a serem limpas'!B10,0)</f>
        <v>279.45</v>
      </c>
      <c r="I14" s="351">
        <f t="shared" si="0"/>
        <v>5792.9891943149996</v>
      </c>
      <c r="J14" s="343"/>
    </row>
    <row r="15" spans="1:10" ht="29.1" customHeight="1">
      <c r="A15" s="346" t="s">
        <v>402</v>
      </c>
      <c r="B15" s="346"/>
      <c r="C15" s="347">
        <v>300</v>
      </c>
      <c r="D15" s="346" t="s">
        <v>403</v>
      </c>
      <c r="E15" s="346"/>
      <c r="F15" s="348">
        <f>'Servente com insalubridade'!H142</f>
        <v>7817.43</v>
      </c>
      <c r="G15" s="349">
        <f>ROUND((1/C15)*F15,7)</f>
        <v>26.0581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43040.689586735003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404</v>
      </c>
      <c r="B17" s="340"/>
      <c r="C17" s="340"/>
      <c r="D17" s="340"/>
      <c r="E17" s="354" t="str">
        <f>Licitante!B3</f>
        <v>DRF/Santos</v>
      </c>
      <c r="F17" s="341"/>
      <c r="G17" s="342"/>
      <c r="H17" s="159" t="s">
        <v>405</v>
      </c>
      <c r="I17" s="167" t="s">
        <v>201</v>
      </c>
      <c r="J17" s="355" t="s">
        <v>406</v>
      </c>
      <c r="K17" s="120"/>
      <c r="L17" s="190"/>
      <c r="M17" s="356"/>
      <c r="N17" s="356"/>
      <c r="O17" s="356"/>
    </row>
    <row r="18" spans="1:15" ht="29.1" customHeight="1">
      <c r="A18" s="337" t="s">
        <v>407</v>
      </c>
      <c r="B18" s="337"/>
      <c r="C18" s="344" t="s">
        <v>396</v>
      </c>
      <c r="D18" s="345" t="s">
        <v>273</v>
      </c>
      <c r="E18" s="345"/>
      <c r="F18" s="344" t="s">
        <v>397</v>
      </c>
      <c r="G18" s="344" t="s">
        <v>398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408</v>
      </c>
      <c r="B19" s="359"/>
      <c r="C19" s="360">
        <v>2700</v>
      </c>
      <c r="D19" s="180" t="s">
        <v>270</v>
      </c>
      <c r="E19" s="182"/>
      <c r="F19" s="361">
        <f>'Servente 40h'!H142</f>
        <v>6218.99</v>
      </c>
      <c r="G19" s="362">
        <f>ROUND((1/C19)*F19,7)</f>
        <v>2.3033296000000001</v>
      </c>
      <c r="H19" s="363">
        <f>IF('CALCULO SIMPLES'!B37 = "m2",'Áreas a serem limpas'!B13,0)</f>
        <v>5160</v>
      </c>
      <c r="I19" s="364">
        <f>G19*H19</f>
        <v>11885.180736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237</v>
      </c>
      <c r="B20" s="359"/>
      <c r="C20" s="365">
        <v>9000</v>
      </c>
      <c r="D20" s="180" t="s">
        <v>270</v>
      </c>
      <c r="E20" s="182"/>
      <c r="F20" s="361">
        <f>'Servente 40h'!H142</f>
        <v>6218.99</v>
      </c>
      <c r="G20" s="362">
        <f t="shared" ref="G20:G22" si="2">ROUND((1/C20)*F20,7)</f>
        <v>0.69099889999999997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238</v>
      </c>
      <c r="B21" s="359"/>
      <c r="C21" s="365">
        <v>2700</v>
      </c>
      <c r="D21" s="180" t="s">
        <v>270</v>
      </c>
      <c r="E21" s="182"/>
      <c r="F21" s="361">
        <f>'Servente 40h'!H142</f>
        <v>6218.99</v>
      </c>
      <c r="G21" s="362">
        <f t="shared" si="2"/>
        <v>2.3033296000000001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239</v>
      </c>
      <c r="B22" s="359"/>
      <c r="C22" s="365">
        <v>2700</v>
      </c>
      <c r="D22" s="180" t="s">
        <v>270</v>
      </c>
      <c r="E22" s="182"/>
      <c r="F22" s="361">
        <f>'Servente 40h'!H142</f>
        <v>6218.99</v>
      </c>
      <c r="G22" s="362">
        <f t="shared" si="2"/>
        <v>2.3033296000000001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240</v>
      </c>
      <c r="B23" s="359"/>
      <c r="C23" s="365">
        <v>2700</v>
      </c>
      <c r="D23" s="180" t="s">
        <v>270</v>
      </c>
      <c r="E23" s="182"/>
      <c r="F23" s="361">
        <f>'Servente 40h'!H142</f>
        <v>6218.99</v>
      </c>
      <c r="G23" s="362">
        <f>ROUND((1/C23)*F23,7)</f>
        <v>2.3033296000000001</v>
      </c>
      <c r="H23" s="363">
        <f>IF('CALCULO SIMPLES'!B37 = "m2",'Áreas a serem limpas'!B17,0)</f>
        <v>2290.54</v>
      </c>
      <c r="I23" s="364">
        <f>G23*H23</f>
        <v>5275.8685819840002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241</v>
      </c>
      <c r="B24" s="359"/>
      <c r="C24" s="365">
        <v>100000</v>
      </c>
      <c r="D24" s="180" t="s">
        <v>270</v>
      </c>
      <c r="E24" s="182"/>
      <c r="F24" s="361">
        <f>'Servente 40h'!H142</f>
        <v>6218.99</v>
      </c>
      <c r="G24" s="362">
        <f>ROUND((1/C24)*F24,7)</f>
        <v>6.2189899999999999E-2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17161.049317984001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409</v>
      </c>
      <c r="B26" s="338"/>
      <c r="C26" s="338"/>
      <c r="D26" s="338"/>
      <c r="E26" s="338"/>
      <c r="F26" s="338"/>
      <c r="G26" s="338"/>
      <c r="H26" s="159" t="s">
        <v>410</v>
      </c>
      <c r="I26" s="159" t="s">
        <v>201</v>
      </c>
      <c r="J26" s="371" t="s">
        <v>411</v>
      </c>
    </row>
    <row r="27" spans="1:15" ht="25.65" customHeight="1">
      <c r="A27" s="372" t="s">
        <v>412</v>
      </c>
      <c r="B27" s="372"/>
      <c r="C27" s="372"/>
      <c r="D27" s="372"/>
      <c r="E27" s="372"/>
      <c r="F27" s="373">
        <v>380</v>
      </c>
      <c r="G27" s="373" t="s">
        <v>413</v>
      </c>
      <c r="H27" s="159"/>
      <c r="I27" s="159"/>
      <c r="J27" s="374"/>
    </row>
    <row r="28" spans="1:15" ht="22.5" customHeight="1">
      <c r="A28" s="345" t="s">
        <v>414</v>
      </c>
      <c r="B28" s="345"/>
      <c r="C28" s="344" t="s">
        <v>415</v>
      </c>
      <c r="D28" s="344" t="s">
        <v>416</v>
      </c>
      <c r="E28" s="344" t="s">
        <v>417</v>
      </c>
      <c r="F28" s="344" t="s">
        <v>418</v>
      </c>
      <c r="G28" s="344" t="s">
        <v>419</v>
      </c>
      <c r="H28" s="159"/>
      <c r="I28" s="159"/>
      <c r="J28" s="375"/>
    </row>
    <row r="29" spans="1:15" ht="29.1" customHeight="1">
      <c r="A29" s="346" t="str">
        <f>Licitante!B3</f>
        <v>DRF/Santos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6638.72</v>
      </c>
      <c r="G29" s="379">
        <f>ROUND(F29*E29,7)</f>
        <v>1.4810984</v>
      </c>
      <c r="H29" s="380">
        <f>IF('CALCULO SIMPLES'!B37 = "m2",'Áreas a serem limpas'!B29+'Áreas a serem limpas'!B30,0)</f>
        <v>1000</v>
      </c>
      <c r="I29" s="381">
        <f>G29*H29</f>
        <v>1481.0984000000001</v>
      </c>
      <c r="J29" s="381">
        <f>I29</f>
        <v>1481.0984000000001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420</v>
      </c>
      <c r="B31" s="338"/>
      <c r="C31" s="338"/>
      <c r="D31" s="338"/>
      <c r="E31" s="338"/>
      <c r="F31" s="338"/>
      <c r="G31" s="338"/>
      <c r="H31" s="159" t="s">
        <v>421</v>
      </c>
      <c r="I31" s="159" t="s">
        <v>201</v>
      </c>
      <c r="J31" s="383" t="s">
        <v>422</v>
      </c>
    </row>
    <row r="32" spans="1:15" ht="25.65" customHeight="1">
      <c r="A32" s="372" t="s">
        <v>412</v>
      </c>
      <c r="B32" s="372"/>
      <c r="C32" s="372"/>
      <c r="D32" s="372"/>
      <c r="E32" s="372"/>
      <c r="F32" s="384">
        <v>160</v>
      </c>
      <c r="G32" s="373" t="s">
        <v>413</v>
      </c>
      <c r="H32" s="159"/>
      <c r="I32" s="159"/>
      <c r="J32" s="383"/>
    </row>
    <row r="33" spans="1:12" ht="25.35">
      <c r="A33" s="337" t="s">
        <v>414</v>
      </c>
      <c r="B33" s="337"/>
      <c r="C33" s="344" t="s">
        <v>423</v>
      </c>
      <c r="D33" s="344" t="s">
        <v>424</v>
      </c>
      <c r="E33" s="385" t="s">
        <v>425</v>
      </c>
      <c r="F33" s="344" t="s">
        <v>418</v>
      </c>
      <c r="G33" s="344" t="s">
        <v>419</v>
      </c>
      <c r="H33" s="159"/>
      <c r="I33" s="159"/>
      <c r="J33" s="383"/>
    </row>
    <row r="34" spans="1:12" ht="31" customHeight="1">
      <c r="A34" s="386" t="str">
        <f>Licitante!B3</f>
        <v>DRF/Santos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8109.13</v>
      </c>
      <c r="G34" s="362">
        <f>F34*E34</f>
        <v>0.35761263300000001</v>
      </c>
      <c r="H34" s="363">
        <f>IF('CALCULO SIMPLES'!B37 = "m2",'Áreas a serem limpas'!B28+'Áreas a serem limpas'!B31,0)</f>
        <v>782</v>
      </c>
      <c r="I34" s="390">
        <f>G34*H34</f>
        <v>279.65307900599998</v>
      </c>
      <c r="J34" s="391">
        <f>I34</f>
        <v>279.65307900599998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426</v>
      </c>
      <c r="B36" s="338"/>
      <c r="C36" s="338"/>
      <c r="D36" s="338"/>
      <c r="E36" s="338"/>
      <c r="F36" s="338"/>
      <c r="G36" s="338"/>
      <c r="J36" s="392" t="s">
        <v>427</v>
      </c>
      <c r="K36" s="393">
        <f>J15+J24+J29+J34</f>
        <v>61962.490383725009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414</v>
      </c>
      <c r="B38" s="397" t="s">
        <v>428</v>
      </c>
      <c r="C38" s="397"/>
      <c r="D38" s="397" t="s">
        <v>429</v>
      </c>
      <c r="E38" s="397"/>
      <c r="F38" s="396" t="s">
        <v>430</v>
      </c>
      <c r="G38" s="396" t="s">
        <v>431</v>
      </c>
      <c r="J38" s="395"/>
    </row>
    <row r="39" spans="1:12" ht="29.1" customHeight="1">
      <c r="A39" s="398" t="str">
        <f>Licitante!B3</f>
        <v>DRF/Santos</v>
      </c>
      <c r="B39" s="398" t="s">
        <v>224</v>
      </c>
      <c r="C39" s="387" t="s">
        <v>227</v>
      </c>
      <c r="D39" s="399">
        <f t="shared" ref="D39:D44" si="4">G7</f>
        <v>5.1824916999999999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228</v>
      </c>
      <c r="D40" s="399">
        <f t="shared" si="4"/>
        <v>5.1824916999999999</v>
      </c>
      <c r="E40" s="400"/>
      <c r="F40" s="388">
        <f t="shared" si="5"/>
        <v>6382.6</v>
      </c>
      <c r="G40" s="401">
        <f t="shared" si="6"/>
        <v>33077.771524420001</v>
      </c>
    </row>
    <row r="41" spans="1:12" ht="27.4" customHeight="1">
      <c r="A41" s="403"/>
      <c r="B41" s="403"/>
      <c r="C41" s="387" t="s">
        <v>399</v>
      </c>
      <c r="D41" s="399">
        <f t="shared" si="4"/>
        <v>13.8199778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230</v>
      </c>
      <c r="D42" s="399">
        <f t="shared" si="4"/>
        <v>2.4875959999999999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231</v>
      </c>
      <c r="D43" s="399">
        <f t="shared" si="4"/>
        <v>3.4549943999999999</v>
      </c>
      <c r="E43" s="400"/>
      <c r="F43" s="388">
        <f t="shared" si="5"/>
        <v>1095</v>
      </c>
      <c r="G43" s="401">
        <f t="shared" si="6"/>
        <v>3783.2188679999999</v>
      </c>
    </row>
    <row r="44" spans="1:12" ht="31" customHeight="1">
      <c r="A44" s="403"/>
      <c r="B44" s="403"/>
      <c r="C44" s="387" t="s">
        <v>232</v>
      </c>
      <c r="D44" s="399">
        <f t="shared" si="4"/>
        <v>4.1459932999999998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401</v>
      </c>
      <c r="D45" s="399">
        <f>G14</f>
        <v>20.729966699999999</v>
      </c>
      <c r="E45" s="400"/>
      <c r="F45" s="388">
        <f>H14</f>
        <v>279.45</v>
      </c>
      <c r="G45" s="401">
        <f t="shared" si="6"/>
        <v>5792.9891943149996</v>
      </c>
      <c r="J45" s="404"/>
    </row>
    <row r="46" spans="1:12" ht="31" customHeight="1">
      <c r="A46" s="403"/>
      <c r="B46" s="405"/>
      <c r="C46" s="387" t="s">
        <v>402</v>
      </c>
      <c r="D46" s="399">
        <f>G15</f>
        <v>26.0581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235</v>
      </c>
      <c r="C47" s="387" t="str">
        <f>'Áreas a serem limpas'!A13</f>
        <v>Pisos pavimentados adjacentes/contíguos às edificações</v>
      </c>
      <c r="D47" s="399">
        <f t="shared" ref="D47:D52" si="7">G19</f>
        <v>2.3033296000000001</v>
      </c>
      <c r="E47" s="400"/>
      <c r="F47" s="388">
        <f t="shared" ref="F47:F52" si="8">H19</f>
        <v>5160</v>
      </c>
      <c r="G47" s="401">
        <f t="shared" si="6"/>
        <v>11885.180736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0.69099889999999997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238</v>
      </c>
      <c r="D49" s="399">
        <f t="shared" si="7"/>
        <v>2.3033296000000001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239</v>
      </c>
      <c r="D50" s="399">
        <f t="shared" si="7"/>
        <v>2.3033296000000001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240</v>
      </c>
      <c r="D51" s="399">
        <f t="shared" si="7"/>
        <v>2.3033296000000001</v>
      </c>
      <c r="E51" s="400"/>
      <c r="F51" s="388">
        <f t="shared" si="8"/>
        <v>2290.54</v>
      </c>
      <c r="G51" s="401">
        <f t="shared" si="6"/>
        <v>5275.8685819840002</v>
      </c>
    </row>
    <row r="52" spans="1:10" ht="31" customHeight="1">
      <c r="A52" s="403"/>
      <c r="B52" s="406"/>
      <c r="C52" s="407" t="s">
        <v>241</v>
      </c>
      <c r="D52" s="399">
        <f t="shared" si="7"/>
        <v>6.2189899999999999E-2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432</v>
      </c>
      <c r="C53" s="409"/>
      <c r="D53" s="409"/>
      <c r="E53" s="409"/>
      <c r="F53" s="410"/>
      <c r="G53" s="401">
        <f>I13</f>
        <v>386.71000000000004</v>
      </c>
    </row>
    <row r="54" spans="1:10" ht="26.65" customHeight="1">
      <c r="A54" s="403"/>
      <c r="B54" s="398" t="s">
        <v>246</v>
      </c>
      <c r="C54" s="387" t="s">
        <v>433</v>
      </c>
      <c r="D54" s="399">
        <f>G29</f>
        <v>1.4810984</v>
      </c>
      <c r="E54" s="400"/>
      <c r="F54" s="388">
        <f>H29</f>
        <v>1000</v>
      </c>
      <c r="G54" s="401">
        <f>D54*F54</f>
        <v>1481.0984000000001</v>
      </c>
    </row>
    <row r="55" spans="1:10" ht="28.4" customHeight="1">
      <c r="A55" s="403"/>
      <c r="B55" s="406"/>
      <c r="C55" s="387" t="s">
        <v>434</v>
      </c>
      <c r="D55" s="411">
        <f>G34</f>
        <v>0.35761263300000001</v>
      </c>
      <c r="E55" s="400"/>
      <c r="F55" s="388">
        <f>H34</f>
        <v>782</v>
      </c>
      <c r="G55" s="401">
        <f>D55*F55</f>
        <v>279.65307900599998</v>
      </c>
    </row>
    <row r="56" spans="1:10" ht="31" customHeight="1">
      <c r="A56" s="406"/>
      <c r="B56" s="339" t="s">
        <v>201</v>
      </c>
      <c r="C56" s="340"/>
      <c r="D56" s="341" t="str">
        <f>Licitante!B3</f>
        <v>DRF/Santos</v>
      </c>
      <c r="E56" s="341"/>
      <c r="F56" s="342"/>
      <c r="G56" s="412">
        <f>SUM(G39:G55)</f>
        <v>61962.490383725009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435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428</v>
      </c>
      <c r="B60" s="415"/>
      <c r="C60" s="416" t="s">
        <v>430</v>
      </c>
      <c r="D60" s="417" t="s">
        <v>436</v>
      </c>
      <c r="E60" s="418" t="s">
        <v>437</v>
      </c>
      <c r="F60" s="419" t="s">
        <v>438</v>
      </c>
      <c r="G60" s="418" t="s">
        <v>439</v>
      </c>
    </row>
    <row r="61" spans="1:10" ht="28.25" customHeight="1">
      <c r="A61" s="420" t="s">
        <v>440</v>
      </c>
      <c r="B61" s="421" t="s">
        <v>227</v>
      </c>
      <c r="C61" s="422">
        <f>'Áreas a serem limpas'!B4</f>
        <v>0</v>
      </c>
      <c r="D61" s="423" t="s">
        <v>441</v>
      </c>
      <c r="E61" s="424">
        <f>'Servente 20h'!H142</f>
        <v>4246.2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228</v>
      </c>
      <c r="C62" s="422">
        <f>'Áreas a serem limpas'!B5</f>
        <v>6382.6</v>
      </c>
      <c r="D62" s="423"/>
      <c r="E62" s="424"/>
      <c r="F62" s="425"/>
      <c r="G62" s="426"/>
    </row>
    <row r="63" spans="1:10" ht="31" customHeight="1">
      <c r="A63" s="420"/>
      <c r="B63" s="421" t="s">
        <v>229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230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231</v>
      </c>
      <c r="C65" s="422">
        <f>'Áreas a serem limpas'!B8</f>
        <v>1095</v>
      </c>
      <c r="D65" s="423"/>
      <c r="E65" s="424"/>
      <c r="F65" s="425"/>
      <c r="G65" s="426"/>
    </row>
    <row r="66" spans="1:7" ht="31" customHeight="1">
      <c r="A66" s="420"/>
      <c r="B66" s="421" t="s">
        <v>232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233</v>
      </c>
      <c r="C67" s="422">
        <f>'Áreas a serem limpas'!B10</f>
        <v>279.45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442</v>
      </c>
      <c r="B69" s="421" t="s">
        <v>236</v>
      </c>
      <c r="C69" s="422">
        <f>'Áreas a serem limpas'!B13</f>
        <v>5160</v>
      </c>
      <c r="D69" s="423"/>
      <c r="E69" s="424"/>
      <c r="F69" s="425"/>
      <c r="G69" s="426"/>
    </row>
    <row r="70" spans="1:7" ht="31" customHeight="1">
      <c r="A70" s="428"/>
      <c r="B70" s="421" t="s">
        <v>237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238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239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240</v>
      </c>
      <c r="C73" s="422">
        <f>'Áreas a serem limpas'!B17</f>
        <v>2290.54</v>
      </c>
      <c r="D73" s="423"/>
      <c r="E73" s="424"/>
      <c r="F73" s="425"/>
      <c r="G73" s="426"/>
    </row>
    <row r="74" spans="1:7" ht="31" customHeight="1">
      <c r="A74" s="428"/>
      <c r="B74" s="421" t="s">
        <v>241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443</v>
      </c>
      <c r="B76" s="438" t="s">
        <v>251</v>
      </c>
      <c r="C76" s="422">
        <f>'Áreas a serem limpas'!B29</f>
        <v>0</v>
      </c>
      <c r="D76" s="423" t="s">
        <v>444</v>
      </c>
      <c r="E76" s="424">
        <f>'Limpador de vidros sem risco- D'!H140</f>
        <v>6638.72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252</v>
      </c>
      <c r="C77" s="422">
        <f>'Áreas a serem limpas'!B30</f>
        <v>1000</v>
      </c>
      <c r="D77" s="423"/>
      <c r="E77" s="424"/>
      <c r="F77" s="425"/>
      <c r="G77" s="426"/>
    </row>
    <row r="78" spans="1:7" ht="31" customHeight="1">
      <c r="A78" s="439"/>
      <c r="B78" s="440" t="s">
        <v>250</v>
      </c>
      <c r="C78" s="422">
        <f>'Áreas a serem limpas'!B28</f>
        <v>0</v>
      </c>
      <c r="D78" s="423" t="s">
        <v>445</v>
      </c>
      <c r="E78" s="441">
        <f>'Limpador de vidros com risco- D'!H140</f>
        <v>8109.13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253</v>
      </c>
      <c r="C79" s="422">
        <f>'Áreas a serem limpas'!B31</f>
        <v>782</v>
      </c>
      <c r="D79" s="423"/>
      <c r="E79" s="444"/>
      <c r="F79" s="445"/>
      <c r="G79" s="426"/>
    </row>
    <row r="80" spans="1:7" ht="31" customHeight="1">
      <c r="A80" s="446" t="s">
        <v>446</v>
      </c>
      <c r="B80" s="447"/>
      <c r="C80" s="448">
        <f>SUM(C61:C79)</f>
        <v>16989.59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447</v>
      </c>
      <c r="B83" s="454"/>
      <c r="C83" s="454"/>
      <c r="D83" s="454"/>
      <c r="E83" s="454"/>
      <c r="F83" s="454"/>
      <c r="G83" s="455">
        <f>G56+G80</f>
        <v>61962.490383725009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448</v>
      </c>
      <c r="B86" s="454"/>
      <c r="C86" s="454"/>
      <c r="D86" s="454"/>
      <c r="E86" s="454"/>
      <c r="F86" s="454"/>
      <c r="G86" s="455">
        <f>Licitante!H173</f>
        <v>4081.0562500000005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449</v>
      </c>
      <c r="B89" s="457"/>
      <c r="C89" s="457"/>
      <c r="D89" s="457"/>
      <c r="E89" s="457"/>
      <c r="F89" s="457"/>
      <c r="G89" s="455">
        <f>Licitante!H192/12</f>
        <v>1464.9254333333336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450</v>
      </c>
      <c r="B92" s="454"/>
      <c r="C92" s="454"/>
      <c r="D92" s="454"/>
      <c r="E92" s="454"/>
      <c r="F92" s="454"/>
      <c r="G92" s="455">
        <f>G83+G86+G89</f>
        <v>67508.472067058348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451</v>
      </c>
      <c r="B95" s="454"/>
      <c r="C95" s="454"/>
      <c r="D95" s="454"/>
      <c r="E95" s="454"/>
      <c r="F95" s="454"/>
      <c r="G95" s="459">
        <f>G92*Licitante!D2</f>
        <v>1620203.3296094004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ED50D-8D06-4096-BD09-C4432779B635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452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453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454</v>
      </c>
      <c r="B3" s="471" t="s">
        <v>455</v>
      </c>
      <c r="C3" s="471"/>
      <c r="D3" s="470" t="s">
        <v>456</v>
      </c>
      <c r="E3" s="472" t="s">
        <v>457</v>
      </c>
      <c r="F3" s="463"/>
      <c r="G3" s="472" t="s">
        <v>458</v>
      </c>
      <c r="H3" s="470" t="s">
        <v>459</v>
      </c>
    </row>
    <row r="4" spans="1:8">
      <c r="A4" s="473"/>
      <c r="B4" s="474" t="s">
        <v>460</v>
      </c>
      <c r="C4" s="474" t="s">
        <v>461</v>
      </c>
      <c r="D4" s="473"/>
      <c r="E4" s="475"/>
      <c r="F4" s="463"/>
      <c r="G4" s="475"/>
      <c r="H4" s="473"/>
    </row>
    <row r="5" spans="1:8" ht="16" customHeight="1">
      <c r="A5" s="476" t="s">
        <v>462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463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464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465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466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466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467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468</v>
      </c>
      <c r="B13" s="460" t="s">
        <v>469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470</v>
      </c>
      <c r="C14" s="474" t="s">
        <v>471</v>
      </c>
      <c r="D14" s="474" t="s">
        <v>472</v>
      </c>
      <c r="E14" s="474" t="s">
        <v>473</v>
      </c>
      <c r="F14" s="485" t="s">
        <v>474</v>
      </c>
      <c r="G14" s="463"/>
      <c r="H14" s="463"/>
    </row>
    <row r="15" spans="1:8" ht="16" customHeight="1">
      <c r="A15" s="476" t="s">
        <v>462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463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464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465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466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467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475</v>
      </c>
      <c r="B21" s="466"/>
      <c r="C21" s="466"/>
      <c r="D21" s="466"/>
      <c r="E21" s="466"/>
      <c r="F21" s="467"/>
    </row>
    <row r="22" spans="1:6" ht="25.35">
      <c r="A22" s="474" t="s">
        <v>454</v>
      </c>
      <c r="B22" s="474" t="s">
        <v>476</v>
      </c>
      <c r="C22" s="474" t="s">
        <v>477</v>
      </c>
      <c r="D22" s="474" t="s">
        <v>478</v>
      </c>
      <c r="E22" s="474" t="s">
        <v>479</v>
      </c>
      <c r="F22" s="485" t="s">
        <v>104</v>
      </c>
    </row>
    <row r="23" spans="1:6" ht="25.35">
      <c r="A23" s="476" t="s">
        <v>480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481</v>
      </c>
      <c r="B26" s="488"/>
      <c r="C26" s="488"/>
      <c r="D26" s="489"/>
      <c r="E26" s="486"/>
      <c r="F26" s="486"/>
    </row>
    <row r="27" spans="1:6">
      <c r="A27" s="490" t="s">
        <v>454</v>
      </c>
      <c r="B27" s="490" t="s">
        <v>101</v>
      </c>
      <c r="C27" s="490" t="s">
        <v>102</v>
      </c>
      <c r="D27" s="490" t="s">
        <v>104</v>
      </c>
      <c r="E27" s="490" t="s">
        <v>482</v>
      </c>
      <c r="F27" s="486"/>
    </row>
    <row r="28" spans="1:6" ht="16" customHeight="1">
      <c r="A28" s="476" t="s">
        <v>462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463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464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465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466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483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467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484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485</v>
      </c>
      <c r="B37" s="494" t="s">
        <v>486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BF15C1B6-BE22-4281-BDD0-74F9F5B2904B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97EEAA02-B80D-4A16-94C6-0CA826DC33E7}"/>
</file>

<file path=customXml/itemProps2.xml><?xml version="1.0" encoding="utf-8"?>
<ds:datastoreItem xmlns:ds="http://schemas.openxmlformats.org/officeDocument/2006/customXml" ds:itemID="{D975BCCB-2BCC-4DD7-BDA7-3B5E51C73456}"/>
</file>

<file path=customXml/itemProps3.xml><?xml version="1.0" encoding="utf-8"?>
<ds:datastoreItem xmlns:ds="http://schemas.openxmlformats.org/officeDocument/2006/customXml" ds:itemID="{B0396010-376B-4D09-971E-9CC63F774A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2025-11-24T11:50:45Z</dcterms:created>
  <dcterms:modified xsi:type="dcterms:W3CDTF">2025-11-24T11:50:48Z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